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PPS 2022\"/>
    </mc:Choice>
  </mc:AlternateContent>
  <bookViews>
    <workbookView xWindow="0" yWindow="0" windowWidth="20490" windowHeight="7935"/>
  </bookViews>
  <sheets>
    <sheet name="PROYECTOS" sheetId="1" r:id="rId1"/>
  </sheets>
  <definedNames>
    <definedName name="_xlnm.Print_Area" localSheetId="0">PROYECTOS!$A$1:$W$138</definedName>
    <definedName name="_xlnm.Print_Titles" localSheetId="0">PROYECTOS!$1:$4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1" l="1"/>
  <c r="W39" i="1"/>
  <c r="X136" i="1" l="1"/>
  <c r="W136" i="1"/>
  <c r="X135" i="1"/>
  <c r="X134" i="1"/>
  <c r="X133" i="1"/>
  <c r="X132" i="1"/>
  <c r="X131" i="1"/>
  <c r="X130" i="1"/>
  <c r="W130" i="1"/>
  <c r="X129" i="1"/>
  <c r="X128" i="1"/>
  <c r="X127" i="1"/>
  <c r="X126" i="1"/>
  <c r="X125" i="1"/>
  <c r="X124" i="1"/>
  <c r="X123" i="1"/>
  <c r="X122" i="1"/>
  <c r="X121" i="1"/>
  <c r="X120" i="1"/>
  <c r="X119" i="1"/>
  <c r="W119" i="1"/>
  <c r="X118" i="1"/>
  <c r="W118" i="1"/>
  <c r="X117" i="1"/>
  <c r="W117" i="1"/>
  <c r="X116" i="1"/>
  <c r="W116" i="1"/>
  <c r="X115" i="1"/>
  <c r="W115" i="1"/>
  <c r="X114" i="1"/>
  <c r="X113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T95" i="1"/>
  <c r="G95" i="1"/>
  <c r="X94" i="1"/>
  <c r="X93" i="1"/>
  <c r="W93" i="1"/>
  <c r="T93" i="1" s="1"/>
  <c r="X92" i="1"/>
  <c r="X91" i="1"/>
  <c r="W91" i="1"/>
  <c r="T91" i="1" s="1"/>
  <c r="X90" i="1"/>
  <c r="X89" i="1"/>
  <c r="F89" i="1"/>
  <c r="W89" i="1" s="1"/>
  <c r="T89" i="1" s="1"/>
  <c r="X88" i="1"/>
  <c r="X87" i="1"/>
  <c r="T87" i="1"/>
  <c r="X80" i="1"/>
  <c r="X79" i="1"/>
  <c r="X78" i="1"/>
  <c r="W78" i="1"/>
  <c r="T78" i="1" s="1"/>
  <c r="X77" i="1"/>
  <c r="T77" i="1"/>
  <c r="X76" i="1"/>
  <c r="X75" i="1"/>
  <c r="X74" i="1"/>
  <c r="W74" i="1"/>
  <c r="T74" i="1" s="1"/>
  <c r="X73" i="1"/>
  <c r="W73" i="1"/>
  <c r="T73" i="1" s="1"/>
  <c r="X72" i="1"/>
  <c r="T72" i="1"/>
  <c r="X71" i="1"/>
  <c r="X70" i="1"/>
  <c r="G70" i="1"/>
  <c r="W70" i="1" s="1"/>
  <c r="T70" i="1" s="1"/>
  <c r="X69" i="1"/>
  <c r="G69" i="1"/>
  <c r="W69" i="1" s="1"/>
  <c r="T69" i="1" s="1"/>
  <c r="X68" i="1"/>
  <c r="G68" i="1"/>
  <c r="W68" i="1" s="1"/>
  <c r="T68" i="1" s="1"/>
  <c r="X67" i="1"/>
  <c r="G67" i="1"/>
  <c r="W67" i="1" s="1"/>
  <c r="T67" i="1" s="1"/>
  <c r="X66" i="1"/>
  <c r="G66" i="1"/>
  <c r="W66" i="1" s="1"/>
  <c r="T66" i="1" s="1"/>
  <c r="X65" i="1"/>
  <c r="G65" i="1"/>
  <c r="W65" i="1" s="1"/>
  <c r="T65" i="1" s="1"/>
  <c r="X64" i="1"/>
  <c r="G64" i="1"/>
  <c r="W64" i="1" s="1"/>
  <c r="T64" i="1" s="1"/>
  <c r="X63" i="1"/>
  <c r="G63" i="1"/>
  <c r="W63" i="1" s="1"/>
  <c r="T63" i="1" s="1"/>
  <c r="X62" i="1"/>
  <c r="G62" i="1"/>
  <c r="W62" i="1" s="1"/>
  <c r="T62" i="1" s="1"/>
  <c r="X61" i="1"/>
  <c r="G61" i="1"/>
  <c r="W61" i="1" s="1"/>
  <c r="T61" i="1" s="1"/>
  <c r="X60" i="1"/>
  <c r="G60" i="1"/>
  <c r="W60" i="1" s="1"/>
  <c r="T60" i="1" s="1"/>
  <c r="X59" i="1"/>
  <c r="G59" i="1"/>
  <c r="W59" i="1" s="1"/>
  <c r="T59" i="1" s="1"/>
  <c r="X58" i="1"/>
  <c r="W58" i="1"/>
  <c r="T58" i="1" s="1"/>
  <c r="X57" i="1"/>
  <c r="X56" i="1"/>
  <c r="G56" i="1"/>
  <c r="W56" i="1" s="1"/>
  <c r="T56" i="1" s="1"/>
  <c r="X55" i="1"/>
  <c r="G55" i="1"/>
  <c r="W55" i="1" s="1"/>
  <c r="T55" i="1" s="1"/>
  <c r="X54" i="1"/>
  <c r="G54" i="1"/>
  <c r="W54" i="1" s="1"/>
  <c r="T54" i="1" s="1"/>
  <c r="X53" i="1"/>
  <c r="W53" i="1"/>
  <c r="T53" i="1" s="1"/>
  <c r="X52" i="1"/>
  <c r="T52" i="1"/>
  <c r="G52" i="1"/>
  <c r="X51" i="1"/>
  <c r="W51" i="1"/>
  <c r="T51" i="1" s="1"/>
  <c r="X50" i="1"/>
  <c r="W50" i="1"/>
  <c r="T50" i="1" s="1"/>
  <c r="X49" i="1"/>
  <c r="W49" i="1"/>
  <c r="T49" i="1" s="1"/>
  <c r="X48" i="1"/>
  <c r="W48" i="1"/>
  <c r="T48" i="1" s="1"/>
  <c r="X47" i="1"/>
  <c r="W47" i="1"/>
  <c r="T47" i="1" s="1"/>
  <c r="X46" i="1"/>
  <c r="W46" i="1"/>
  <c r="T46" i="1" s="1"/>
  <c r="X45" i="1"/>
  <c r="W45" i="1"/>
  <c r="T45" i="1" s="1"/>
  <c r="X44" i="1"/>
  <c r="W44" i="1"/>
  <c r="T44" i="1" s="1"/>
  <c r="X43" i="1"/>
  <c r="W43" i="1"/>
  <c r="T43" i="1" s="1"/>
  <c r="X42" i="1"/>
  <c r="T42" i="1"/>
  <c r="X40" i="1"/>
  <c r="W40" i="1"/>
  <c r="T40" i="1" s="1"/>
  <c r="X39" i="1"/>
  <c r="T39" i="1"/>
  <c r="X38" i="1"/>
  <c r="G38" i="1"/>
  <c r="W38" i="1" s="1"/>
  <c r="T38" i="1" s="1"/>
  <c r="X37" i="1"/>
  <c r="W37" i="1"/>
  <c r="T37" i="1"/>
  <c r="X36" i="1"/>
  <c r="W36" i="1"/>
  <c r="T36" i="1" s="1"/>
  <c r="X35" i="1"/>
  <c r="W35" i="1"/>
  <c r="T35" i="1" s="1"/>
  <c r="X34" i="1"/>
  <c r="W34" i="1"/>
  <c r="T34" i="1" s="1"/>
  <c r="X33" i="1"/>
  <c r="G33" i="1"/>
  <c r="W33" i="1" s="1"/>
  <c r="T33" i="1" s="1"/>
  <c r="X32" i="1"/>
  <c r="T32" i="1"/>
  <c r="X29" i="1"/>
  <c r="W29" i="1"/>
  <c r="T29" i="1" s="1"/>
  <c r="G29" i="1"/>
  <c r="X28" i="1"/>
  <c r="G28" i="1"/>
  <c r="W28" i="1" s="1"/>
  <c r="T28" i="1" s="1"/>
  <c r="X27" i="1"/>
  <c r="X26" i="1"/>
  <c r="W26" i="1"/>
  <c r="T26" i="1" s="1"/>
  <c r="X22" i="1"/>
  <c r="G22" i="1"/>
  <c r="W22" i="1" s="1"/>
  <c r="X18" i="1"/>
  <c r="W18" i="1"/>
  <c r="V18" i="1" s="1"/>
  <c r="X17" i="1"/>
  <c r="W17" i="1"/>
  <c r="T17" i="1" s="1"/>
  <c r="X16" i="1"/>
  <c r="W16" i="1"/>
  <c r="X15" i="1"/>
  <c r="W15" i="1"/>
  <c r="X14" i="1"/>
  <c r="W14" i="1"/>
  <c r="V14" i="1" s="1"/>
  <c r="X13" i="1"/>
  <c r="W13" i="1"/>
  <c r="T13" i="1" s="1"/>
  <c r="V13" i="1"/>
  <c r="U13" i="1"/>
  <c r="X12" i="1"/>
  <c r="X11" i="1"/>
  <c r="W11" i="1"/>
  <c r="T11" i="1" s="1"/>
  <c r="X10" i="1"/>
  <c r="W10" i="1"/>
  <c r="V10" i="1" s="1"/>
  <c r="X9" i="1"/>
  <c r="W9" i="1"/>
  <c r="T9" i="1" s="1"/>
  <c r="X8" i="1"/>
  <c r="W8" i="1"/>
  <c r="X7" i="1"/>
  <c r="X6" i="1"/>
  <c r="W7" i="1"/>
  <c r="V6" i="1"/>
  <c r="U6" i="1"/>
  <c r="V17" i="1" l="1"/>
  <c r="G53" i="1"/>
  <c r="V11" i="1"/>
  <c r="G51" i="1"/>
  <c r="U11" i="1"/>
  <c r="U17" i="1"/>
  <c r="U9" i="1"/>
  <c r="V9" i="1"/>
  <c r="V22" i="1"/>
  <c r="U22" i="1"/>
  <c r="V7" i="1"/>
  <c r="U7" i="1"/>
  <c r="T7" i="1"/>
  <c r="U15" i="1"/>
  <c r="V15" i="1"/>
  <c r="T15" i="1"/>
  <c r="V8" i="1"/>
  <c r="U8" i="1"/>
  <c r="T8" i="1"/>
  <c r="U16" i="1"/>
  <c r="V16" i="1"/>
  <c r="T16" i="1"/>
  <c r="T10" i="1"/>
  <c r="T14" i="1"/>
  <c r="T18" i="1"/>
  <c r="U10" i="1"/>
  <c r="U14" i="1"/>
  <c r="U18" i="1"/>
  <c r="G50" i="1"/>
  <c r="T6" i="1"/>
</calcChain>
</file>

<file path=xl/sharedStrings.xml><?xml version="1.0" encoding="utf-8"?>
<sst xmlns="http://schemas.openxmlformats.org/spreadsheetml/2006/main" count="220" uniqueCount="140">
  <si>
    <t>OBJETIVO(S)</t>
  </si>
  <si>
    <t>CLASIFICACIÓN PROGRAMATICA</t>
  </si>
  <si>
    <t>DEPENDENCIA</t>
  </si>
  <si>
    <t>PROGRAMA</t>
  </si>
  <si>
    <t>ACCIONES</t>
  </si>
  <si>
    <t>META TOTAL</t>
  </si>
  <si>
    <t>METAS MENSUALES</t>
  </si>
  <si>
    <t>APORTACIONES</t>
  </si>
  <si>
    <t>INVERSIÓN</t>
  </si>
  <si>
    <t>UNIDAD DE MEDIDA</t>
  </si>
  <si>
    <t>CANTIDAD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</si>
  <si>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</si>
  <si>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</si>
  <si>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</si>
  <si>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</si>
  <si>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</si>
  <si>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</si>
  <si>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</si>
  <si>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</si>
  <si>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</si>
  <si>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</si>
  <si>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</si>
  <si>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</si>
  <si>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FED 60%</t>
  </si>
  <si>
    <t>EDO 20%</t>
  </si>
  <si>
    <t>MPIO 20%</t>
  </si>
  <si>
    <t>SUMA</t>
  </si>
  <si>
    <t>SEDATU</t>
  </si>
  <si>
    <t>HABITAT ME</t>
  </si>
  <si>
    <t>M2</t>
  </si>
  <si>
    <t>PROGRAMA DE RESCATE DE ESPACIOS PUBLICOS</t>
  </si>
  <si>
    <t>SEPLAN / SIOP</t>
  </si>
  <si>
    <t>FONDEREG</t>
  </si>
  <si>
    <t>Puente Peatonal San Jose</t>
  </si>
  <si>
    <t>FONDO METROPO-LITANO Z-23</t>
  </si>
  <si>
    <t>METROPOLIZACION</t>
  </si>
  <si>
    <t>Circuito Metropolitano Libertad VI</t>
  </si>
  <si>
    <t>KM</t>
  </si>
  <si>
    <t>Planta de tratamiento de Aguas Residuales en San Miguel de la Paz</t>
  </si>
  <si>
    <t>CONADE</t>
  </si>
  <si>
    <t>DEPORTE</t>
  </si>
  <si>
    <t>Frontenis El Trompo</t>
  </si>
  <si>
    <t>Graderias Unidad Deportiva Los Olivos</t>
  </si>
  <si>
    <t>Unidad Deportiva en San Miguel de la Paz</t>
  </si>
  <si>
    <t>Cancha de Futbol 5 en Maltaraña</t>
  </si>
  <si>
    <t>Cancha de Futbol 7 en El Malecon</t>
  </si>
  <si>
    <t>Cancha de Futbol 5 en Unidad Dep Los Olivos</t>
  </si>
  <si>
    <t>Techado de Canchas en Malecon</t>
  </si>
  <si>
    <t>SHCP / FAIP</t>
  </si>
  <si>
    <t>PEF</t>
  </si>
  <si>
    <t>Polideportivo El Trompo</t>
  </si>
  <si>
    <t>Imagen Urbana Boulevard Jamay Primera Etapa</t>
  </si>
  <si>
    <t>Imagen Urbana Boulevard Jamay Segunda Etapa</t>
  </si>
  <si>
    <t>Pavimentacion de Calle Juarez en Maltaraña</t>
  </si>
  <si>
    <t>Construccion de Calle Fdo. Lopez</t>
  </si>
  <si>
    <t>Construccion de Luis Roldan</t>
  </si>
  <si>
    <t>Construccion de Calle 20 de Noviembre III</t>
  </si>
  <si>
    <t>Construccion de Calle Roma en S. Miguel de la Paz 1ra Etapa</t>
  </si>
  <si>
    <t>Construccion de Pavimento de la Calle Alberto Cardenas Jimenez</t>
  </si>
  <si>
    <t xml:space="preserve">Construccion de Pavimento deCalle </t>
  </si>
  <si>
    <t>Construccion de Calle y modernizacion de Redes Hidraulicas en S. Miguel de la Paz</t>
  </si>
  <si>
    <t>Construccion de Calle y Modernizacion de Redes Hidraulicas en la Calle Florida en San Agustin 1ra etapa</t>
  </si>
  <si>
    <t>Pavimentacion de Calle Librado M Diaz  III</t>
  </si>
  <si>
    <t>Pavimentacion de Calle Bernardina Fierro II</t>
  </si>
  <si>
    <t>Pavimentacion de Calle Magdaleno Velasco</t>
  </si>
  <si>
    <t>Tanque de Alivio para Agus Residuales en carcamo Sur</t>
  </si>
  <si>
    <t>PZA</t>
  </si>
  <si>
    <t>Pavimentacion Calle Mariano Jimenez en San Miguel de la Paz</t>
  </si>
  <si>
    <t xml:space="preserve">Paviemntacion Calle 2 de Abril </t>
  </si>
  <si>
    <t>Pavimentacion de Calle Alvaro Obregon en el Guayabal</t>
  </si>
  <si>
    <t>Pavimentacion de Calle 6</t>
  </si>
  <si>
    <t>Pavimentacion de Calle Progreso</t>
  </si>
  <si>
    <t>Pavimentacion de Calle 5 en Col. San Jose.</t>
  </si>
  <si>
    <t>Pavimentacion de Calle Insurgentes en la Colonia Castellana</t>
  </si>
  <si>
    <t>Pavimentacion de Calle Dominguez</t>
  </si>
  <si>
    <t>Pavimentacion de Calle Moctezuma</t>
  </si>
  <si>
    <t>Pavimentacion de Calle Verduzco</t>
  </si>
  <si>
    <t>Pavimentacion de Calle Degollado</t>
  </si>
  <si>
    <t>Pavimentacion de Calle Gonzalez Ortega</t>
  </si>
  <si>
    <t xml:space="preserve">CONACULTA </t>
  </si>
  <si>
    <t>FOREMOBA / PRODER MAGICO</t>
  </si>
  <si>
    <t>Imagen Urbana Centro Historico y Vialidades</t>
  </si>
  <si>
    <t>Recubrimientos e iluminacion de atrio del Rosario e Iluminacion del Monumento</t>
  </si>
  <si>
    <t>Rescate de Mojoneras y area historica en Col. San Jose</t>
  </si>
  <si>
    <t>PAICE</t>
  </si>
  <si>
    <t>Casa de la Cultura IV</t>
  </si>
  <si>
    <t>Equipamiento de Auditorio Municipal</t>
  </si>
  <si>
    <t>INFRAESTRUCTURA SOCIAL MUNICIPAL</t>
  </si>
  <si>
    <t>Obras de Infrestructura Basica Municipal</t>
  </si>
  <si>
    <t>Ramo 33 FISM</t>
  </si>
  <si>
    <t>Ampliacion de DIF Municipal</t>
  </si>
  <si>
    <t>ADMON DIRECTA</t>
  </si>
  <si>
    <t>OBRA OFICINAS OBRAS PUBLICAS</t>
  </si>
  <si>
    <t>ADECUACION DE OFICINAS Y MOBILIARIA A MEDIDA PARA REINGENIERIA ADMINISTRATIVA</t>
  </si>
  <si>
    <t>OBRA REGISTRO CIVIL</t>
  </si>
  <si>
    <t>ADECUACION O READECUACION DE OFICINAS DEL REGISTRO CIVIL</t>
  </si>
  <si>
    <t>OBRAS PUBLICAS</t>
  </si>
  <si>
    <t>BACHEO GENERAL DE CALLES Y VIALIDADES EN CABECERA MUNICIPAL Y DELEGACIONES</t>
  </si>
  <si>
    <t>REQUERIMIENTOS DE DEPARTAMENTO DE OBRAS PUBLICAS</t>
  </si>
  <si>
    <t>EQUIPOS PARA DEPTO DE OBRAS PUBLICAS</t>
  </si>
  <si>
    <t>Cortadora para concreto</t>
  </si>
  <si>
    <t>Pza</t>
  </si>
  <si>
    <t>Martillo demoledor De Walt/Rotomartillo Maquina</t>
  </si>
  <si>
    <t>Esclerometro Martillo Rebote medidor de Impacto para medir la Resistencia del concreto</t>
  </si>
  <si>
    <t>Vibrador para Concreto</t>
  </si>
  <si>
    <t>Compactador a gasolina (Bailarina)</t>
  </si>
  <si>
    <t>Revolvedora de 1 saco</t>
  </si>
  <si>
    <t>PRODIM</t>
  </si>
  <si>
    <t>PC escritorio para diseño 3D</t>
  </si>
  <si>
    <t>Laptop para diseño CAD</t>
  </si>
  <si>
    <t>Equipo de Nivel topografico LEICA</t>
  </si>
  <si>
    <t>Revolvedora de 1 saco para concreto</t>
  </si>
  <si>
    <t xml:space="preserve">Reparar Nivel </t>
  </si>
  <si>
    <t>CONSUMIBLES PARA OFICINA</t>
  </si>
  <si>
    <t>Papel Doble Carta para impresión</t>
  </si>
  <si>
    <t>Paq</t>
  </si>
  <si>
    <t>Rollos de papel para Plotter de 24"</t>
  </si>
  <si>
    <t>Papel fotografico tamaño carta (de 50 hojas)</t>
  </si>
  <si>
    <t>Tinta Epson para rellenar (Colores base)</t>
  </si>
  <si>
    <t>Lto</t>
  </si>
  <si>
    <t>Pc para Diseño 3D, especificaciones en la cotizacion</t>
  </si>
  <si>
    <t>Lote</t>
  </si>
  <si>
    <t>EQUIPO PARA OFICINA</t>
  </si>
  <si>
    <t>Cafetera para oficina</t>
  </si>
  <si>
    <t>Despachador de agua para garrafon (fria y caliente)</t>
  </si>
  <si>
    <t>Entrepaños de madera similares a los existentes</t>
  </si>
  <si>
    <t>Chalecos y Gorras para personal</t>
  </si>
  <si>
    <t>Botas de piel con casquillo para obra</t>
  </si>
  <si>
    <t>Silla ejecutiva Requiez de malla p/oficina (Proyectos)</t>
  </si>
  <si>
    <t>PROYECTOS ESTRATEGICOS</t>
  </si>
  <si>
    <t>PLANTAS DE TRATAMIENTO</t>
  </si>
  <si>
    <t>PAGO DE DEUDA</t>
  </si>
  <si>
    <t>BOULEVARD TURISTICO URBANO</t>
  </si>
  <si>
    <t>Muelle para Pescadores en la Vastaguera</t>
  </si>
  <si>
    <t>Proyecto de estadio de Beisbol Los Olivos</t>
  </si>
  <si>
    <t>SALUD</t>
  </si>
  <si>
    <t>SSA</t>
  </si>
  <si>
    <t>SERV. MED MPAL.</t>
  </si>
  <si>
    <t>Centro de Salud San Agustin</t>
  </si>
  <si>
    <t>PPS OBRAS PUBLICAS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</si>
</sst>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 Black"/>
      <family val="2"/>
    </font>
    <font>
      <b/>
      <sz val="7"/>
      <color theme="0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49701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43" fontId="0" fillId="6" borderId="0" xfId="1" applyFont="1" applyFill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Fill="1" applyAlignment="1">
      <alignment horizontal="left" vertical="center" wrapText="1"/>
    </xf>
    <xf numFmtId="43" fontId="0" fillId="0" borderId="0" xfId="1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43" fontId="0" fillId="7" borderId="0" xfId="1" applyFont="1" applyFill="1" applyAlignment="1">
      <alignment horizontal="center" vertical="center" wrapText="1"/>
    </xf>
    <xf numFmtId="44" fontId="0" fillId="0" borderId="0" xfId="2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10" borderId="0" xfId="0" applyFill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0" xfId="2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7" borderId="0" xfId="0" applyFill="1" applyAlignment="1">
      <alignment horizontal="left" vertical="center" wrapText="1"/>
    </xf>
    <xf numFmtId="44" fontId="0" fillId="7" borderId="0" xfId="0" applyNumberFormat="1" applyFill="1" applyAlignment="1">
      <alignment horizontal="center" vertical="center" wrapText="1"/>
    </xf>
    <xf numFmtId="44" fontId="0" fillId="7" borderId="0" xfId="2" applyFont="1" applyFill="1" applyAlignment="1">
      <alignment horizontal="center" vertical="center" wrapText="1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horizontal="center" vertical="center" wrapText="1"/>
    </xf>
    <xf numFmtId="43" fontId="0" fillId="13" borderId="0" xfId="1" applyFont="1" applyFill="1" applyAlignment="1">
      <alignment horizontal="center" vertical="center" wrapText="1"/>
    </xf>
    <xf numFmtId="44" fontId="0" fillId="13" borderId="0" xfId="0" applyNumberFormat="1" applyFill="1" applyAlignment="1">
      <alignment horizontal="center" vertical="center" wrapText="1"/>
    </xf>
    <xf numFmtId="44" fontId="0" fillId="13" borderId="0" xfId="2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9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4" fontId="7" fillId="4" borderId="12" xfId="2" applyFont="1" applyFill="1" applyBorder="1" applyAlignment="1">
      <alignment horizontal="center" vertical="center"/>
    </xf>
    <xf numFmtId="44" fontId="7" fillId="4" borderId="20" xfId="2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520853</xdr:colOff>
      <xdr:row>0</xdr:row>
      <xdr:rowOff>22412</xdr:rowOff>
    </xdr:from>
    <xdr:to>
      <xdr:col>2</xdr:col>
      <xdr:colOff>1056794</xdr:colOff>
      <xdr:row>1</xdr:row>
      <xdr:rowOff>616199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853" y="22412"/>
          <a:ext cx="669291" cy="1050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3"/>
  <sheetViews>
    <sheetView tabSelected="1" topLeftCell="C1" zoomScale="70" zoomScaleNormal="70" workbookViewId="0">
      <selection activeCell="E17" sqref="E17"/>
    </sheetView>
  </sheetViews>
  <sheetFormatPr baseColWidth="10" defaultColWidth="11.42578125" defaultRowHeight="15" x14ac:dyDescent="0.25"/>
  <cols>
    <col min="1" max="1" width="37.42578125" style="1" hidden="1" customWidth="1"/>
    <col min="2" max="2" width="22.7109375" style="1" hidden="1" customWidth="1"/>
    <col min="3" max="3" width="15.85546875" style="1" customWidth="1"/>
    <col min="4" max="4" width="20.5703125" style="1" customWidth="1"/>
    <col min="5" max="5" width="46.42578125" style="1" customWidth="1"/>
    <col min="6" max="6" width="10.42578125" style="1" customWidth="1"/>
    <col min="7" max="7" width="10.7109375" style="1" customWidth="1"/>
    <col min="8" max="19" width="5.7109375" style="1" customWidth="1"/>
    <col min="20" max="20" width="17.28515625" style="1" customWidth="1"/>
    <col min="21" max="22" width="14.5703125" style="1" customWidth="1"/>
    <col min="23" max="23" width="19.28515625" style="22" customWidth="1"/>
    <col min="24" max="24" width="15" style="1" customWidth="1"/>
    <col min="25" max="25" width="25.140625" style="1" customWidth="1"/>
    <col min="26" max="16384" width="11.42578125" style="1"/>
  </cols>
  <sheetData>
    <row r="1" spans="1:24" ht="36" customHeight="1" x14ac:dyDescent="0.25">
      <c r="A1" s="56" t="s">
        <v>139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ht="50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x14ac:dyDescent="0.25">
      <c r="A3" s="58" t="s">
        <v>0</v>
      </c>
      <c r="B3" s="60" t="s">
        <v>1</v>
      </c>
      <c r="C3" s="62" t="s">
        <v>2</v>
      </c>
      <c r="D3" s="64" t="s">
        <v>3</v>
      </c>
      <c r="E3" s="66" t="s">
        <v>4</v>
      </c>
      <c r="F3" s="68" t="s">
        <v>5</v>
      </c>
      <c r="G3" s="69"/>
      <c r="H3" s="70" t="s">
        <v>6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 t="s">
        <v>7</v>
      </c>
      <c r="U3" s="72"/>
      <c r="V3" s="73"/>
      <c r="W3" s="74" t="s">
        <v>8</v>
      </c>
    </row>
    <row r="4" spans="1:24" ht="18.75" thickBot="1" x14ac:dyDescent="0.3">
      <c r="A4" s="59"/>
      <c r="B4" s="61"/>
      <c r="C4" s="63"/>
      <c r="D4" s="65"/>
      <c r="E4" s="67"/>
      <c r="F4" s="2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3" t="s">
        <v>20</v>
      </c>
      <c r="R4" s="3" t="s">
        <v>21</v>
      </c>
      <c r="S4" s="3" t="s">
        <v>22</v>
      </c>
      <c r="T4" s="4" t="s">
        <v>23</v>
      </c>
      <c r="U4" s="4" t="s">
        <v>24</v>
      </c>
      <c r="V4" s="2" t="s">
        <v>25</v>
      </c>
      <c r="W4" s="75"/>
      <c r="X4" s="1" t="s">
        <v>26</v>
      </c>
    </row>
    <row r="5" spans="1:24" s="10" customFormat="1" ht="18.75" x14ac:dyDescent="0.25">
      <c r="A5" s="5"/>
      <c r="B5" s="5"/>
      <c r="C5" s="6"/>
      <c r="D5" s="6"/>
      <c r="E5" s="6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7"/>
      <c r="U5" s="7"/>
      <c r="V5" s="7"/>
      <c r="W5" s="9"/>
    </row>
    <row r="6" spans="1:24" ht="14.25" customHeight="1" x14ac:dyDescent="0.25">
      <c r="A6" s="52"/>
      <c r="B6" s="11"/>
      <c r="C6" s="53" t="s">
        <v>27</v>
      </c>
      <c r="D6" s="54" t="s">
        <v>28</v>
      </c>
      <c r="E6" s="12">
        <v>1</v>
      </c>
      <c r="F6" s="11" t="s">
        <v>29</v>
      </c>
      <c r="G6" s="13">
        <v>0</v>
      </c>
      <c r="H6" s="10"/>
      <c r="I6" s="14">
        <v>5</v>
      </c>
      <c r="J6" s="14">
        <v>5</v>
      </c>
      <c r="K6" s="14">
        <v>5</v>
      </c>
      <c r="L6" s="14">
        <v>5</v>
      </c>
      <c r="M6" s="14">
        <v>5</v>
      </c>
      <c r="N6" s="14">
        <v>10</v>
      </c>
      <c r="O6" s="14">
        <v>20</v>
      </c>
      <c r="P6" s="14">
        <v>15</v>
      </c>
      <c r="Q6" s="14">
        <v>15</v>
      </c>
      <c r="R6" s="14">
        <v>10</v>
      </c>
      <c r="S6" s="14">
        <v>5</v>
      </c>
      <c r="T6" s="15">
        <f>W6*0.6</f>
        <v>3952965</v>
      </c>
      <c r="U6" s="15">
        <f>W6*0.2</f>
        <v>1317655</v>
      </c>
      <c r="V6" s="15">
        <f>W6*0.2</f>
        <v>1317655</v>
      </c>
      <c r="W6" s="16">
        <f>4250500*1.55</f>
        <v>6588275</v>
      </c>
      <c r="X6" s="1">
        <f>SUM(H6:S6)</f>
        <v>100</v>
      </c>
    </row>
    <row r="7" spans="1:24" ht="14.25" customHeight="1" x14ac:dyDescent="0.25">
      <c r="A7" s="52"/>
      <c r="B7" s="11"/>
      <c r="C7" s="53"/>
      <c r="D7" s="54"/>
      <c r="E7" s="12">
        <v>2</v>
      </c>
      <c r="F7" s="11" t="s">
        <v>29</v>
      </c>
      <c r="G7" s="16">
        <v>0</v>
      </c>
      <c r="H7" s="10"/>
      <c r="I7" s="14">
        <v>5</v>
      </c>
      <c r="J7" s="14">
        <v>5</v>
      </c>
      <c r="K7" s="14">
        <v>5</v>
      </c>
      <c r="L7" s="14">
        <v>5</v>
      </c>
      <c r="M7" s="14">
        <v>5</v>
      </c>
      <c r="N7" s="14">
        <v>10</v>
      </c>
      <c r="O7" s="14">
        <v>20</v>
      </c>
      <c r="P7" s="14">
        <v>15</v>
      </c>
      <c r="Q7" s="14">
        <v>15</v>
      </c>
      <c r="R7" s="14">
        <v>10</v>
      </c>
      <c r="S7" s="14">
        <v>5</v>
      </c>
      <c r="T7" s="15">
        <f t="shared" ref="T7:T11" si="0">W7*0.6</f>
        <v>0</v>
      </c>
      <c r="U7" s="15">
        <f t="shared" ref="U7:U11" si="1">W7*0.2</f>
        <v>0</v>
      </c>
      <c r="V7" s="15">
        <f t="shared" ref="V7:V11" si="2">W7*0.2</f>
        <v>0</v>
      </c>
      <c r="W7" s="16">
        <f>G7*W6/100</f>
        <v>0</v>
      </c>
      <c r="X7" s="1">
        <f t="shared" ref="X7:X69" si="3">SUM(H7:S7)</f>
        <v>100</v>
      </c>
    </row>
    <row r="8" spans="1:24" ht="14.25" customHeight="1" x14ac:dyDescent="0.25">
      <c r="A8" s="51"/>
      <c r="C8" s="53"/>
      <c r="D8" s="54"/>
      <c r="E8" s="12">
        <v>3</v>
      </c>
      <c r="F8" s="1" t="s">
        <v>29</v>
      </c>
      <c r="G8" s="18">
        <v>0</v>
      </c>
      <c r="H8" s="10"/>
      <c r="I8" s="14">
        <v>5</v>
      </c>
      <c r="J8" s="14">
        <v>5</v>
      </c>
      <c r="K8" s="14">
        <v>5</v>
      </c>
      <c r="L8" s="14">
        <v>5</v>
      </c>
      <c r="M8" s="14">
        <v>5</v>
      </c>
      <c r="N8" s="14">
        <v>10</v>
      </c>
      <c r="O8" s="14">
        <v>20</v>
      </c>
      <c r="P8" s="14">
        <v>15</v>
      </c>
      <c r="Q8" s="14">
        <v>15</v>
      </c>
      <c r="R8" s="14">
        <v>10</v>
      </c>
      <c r="S8" s="14">
        <v>5</v>
      </c>
      <c r="T8" s="15">
        <f t="shared" si="0"/>
        <v>0</v>
      </c>
      <c r="U8" s="15">
        <f t="shared" si="1"/>
        <v>0</v>
      </c>
      <c r="V8" s="15">
        <f t="shared" si="2"/>
        <v>0</v>
      </c>
      <c r="W8" s="16">
        <f>G8*1800</f>
        <v>0</v>
      </c>
      <c r="X8" s="1">
        <f t="shared" si="3"/>
        <v>100</v>
      </c>
    </row>
    <row r="9" spans="1:24" ht="14.25" customHeight="1" x14ac:dyDescent="0.25">
      <c r="A9" s="51"/>
      <c r="C9" s="53"/>
      <c r="D9" s="54"/>
      <c r="E9" s="12">
        <v>4</v>
      </c>
      <c r="F9" s="1" t="s">
        <v>29</v>
      </c>
      <c r="G9" s="18">
        <v>0</v>
      </c>
      <c r="H9" s="10"/>
      <c r="I9" s="14">
        <v>5</v>
      </c>
      <c r="J9" s="14">
        <v>5</v>
      </c>
      <c r="K9" s="14">
        <v>5</v>
      </c>
      <c r="L9" s="14">
        <v>5</v>
      </c>
      <c r="M9" s="14">
        <v>5</v>
      </c>
      <c r="N9" s="14">
        <v>10</v>
      </c>
      <c r="O9" s="14">
        <v>20</v>
      </c>
      <c r="P9" s="14">
        <v>15</v>
      </c>
      <c r="Q9" s="14">
        <v>15</v>
      </c>
      <c r="R9" s="14">
        <v>10</v>
      </c>
      <c r="S9" s="14">
        <v>5</v>
      </c>
      <c r="T9" s="15">
        <f t="shared" si="0"/>
        <v>0</v>
      </c>
      <c r="U9" s="15">
        <f t="shared" si="1"/>
        <v>0</v>
      </c>
      <c r="V9" s="15">
        <f t="shared" si="2"/>
        <v>0</v>
      </c>
      <c r="W9" s="16">
        <f>G9*1800</f>
        <v>0</v>
      </c>
      <c r="X9" s="1">
        <f t="shared" si="3"/>
        <v>100</v>
      </c>
    </row>
    <row r="10" spans="1:24" ht="14.25" customHeight="1" x14ac:dyDescent="0.25">
      <c r="C10" s="53"/>
      <c r="D10" s="54"/>
      <c r="E10" s="12">
        <v>5</v>
      </c>
      <c r="F10" s="1" t="s">
        <v>29</v>
      </c>
      <c r="G10" s="18">
        <v>0</v>
      </c>
      <c r="H10" s="10"/>
      <c r="I10" s="14">
        <v>5</v>
      </c>
      <c r="J10" s="14">
        <v>5</v>
      </c>
      <c r="K10" s="14">
        <v>5</v>
      </c>
      <c r="L10" s="14">
        <v>5</v>
      </c>
      <c r="M10" s="14">
        <v>5</v>
      </c>
      <c r="N10" s="14">
        <v>10</v>
      </c>
      <c r="O10" s="14">
        <v>20</v>
      </c>
      <c r="P10" s="14">
        <v>15</v>
      </c>
      <c r="Q10" s="14">
        <v>15</v>
      </c>
      <c r="R10" s="14">
        <v>10</v>
      </c>
      <c r="S10" s="14">
        <v>5</v>
      </c>
      <c r="T10" s="15">
        <f t="shared" si="0"/>
        <v>0</v>
      </c>
      <c r="U10" s="15">
        <f t="shared" si="1"/>
        <v>0</v>
      </c>
      <c r="V10" s="15">
        <f t="shared" si="2"/>
        <v>0</v>
      </c>
      <c r="W10" s="16">
        <f>G10*1800</f>
        <v>0</v>
      </c>
      <c r="X10" s="1">
        <f t="shared" si="3"/>
        <v>100</v>
      </c>
    </row>
    <row r="11" spans="1:24" ht="14.25" customHeight="1" x14ac:dyDescent="0.25">
      <c r="C11" s="53"/>
      <c r="D11" s="54"/>
      <c r="E11" s="12">
        <v>6</v>
      </c>
      <c r="F11" s="1" t="s">
        <v>29</v>
      </c>
      <c r="G11" s="18">
        <v>0</v>
      </c>
      <c r="H11" s="10"/>
      <c r="I11" s="14">
        <v>5</v>
      </c>
      <c r="J11" s="14">
        <v>5</v>
      </c>
      <c r="K11" s="14">
        <v>5</v>
      </c>
      <c r="L11" s="14">
        <v>5</v>
      </c>
      <c r="M11" s="14">
        <v>5</v>
      </c>
      <c r="N11" s="14">
        <v>10</v>
      </c>
      <c r="O11" s="14">
        <v>20</v>
      </c>
      <c r="P11" s="14">
        <v>15</v>
      </c>
      <c r="Q11" s="14">
        <v>15</v>
      </c>
      <c r="R11" s="14">
        <v>10</v>
      </c>
      <c r="S11" s="14">
        <v>5</v>
      </c>
      <c r="T11" s="15">
        <f t="shared" si="0"/>
        <v>0</v>
      </c>
      <c r="U11" s="15">
        <f t="shared" si="1"/>
        <v>0</v>
      </c>
      <c r="V11" s="15">
        <f t="shared" si="2"/>
        <v>0</v>
      </c>
      <c r="W11" s="16">
        <f>G11*1800*1.1</f>
        <v>0</v>
      </c>
      <c r="X11" s="1">
        <f t="shared" si="3"/>
        <v>100</v>
      </c>
    </row>
    <row r="12" spans="1:24" ht="14.25" customHeight="1" x14ac:dyDescent="0.25">
      <c r="C12" s="53"/>
      <c r="D12" s="54"/>
      <c r="E12" s="12"/>
      <c r="G12" s="18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9"/>
      <c r="U12" s="19"/>
      <c r="V12" s="19"/>
      <c r="W12" s="19"/>
      <c r="X12" s="1">
        <f t="shared" si="3"/>
        <v>0</v>
      </c>
    </row>
    <row r="13" spans="1:24" x14ac:dyDescent="0.25">
      <c r="C13" s="53"/>
      <c r="D13" s="54" t="s">
        <v>30</v>
      </c>
      <c r="E13" s="12">
        <v>1</v>
      </c>
      <c r="F13" s="1" t="s">
        <v>29</v>
      </c>
      <c r="G13" s="16">
        <v>0</v>
      </c>
      <c r="I13" s="20">
        <v>5</v>
      </c>
      <c r="J13" s="20">
        <v>5</v>
      </c>
      <c r="K13" s="20">
        <v>5</v>
      </c>
      <c r="L13" s="20">
        <v>5</v>
      </c>
      <c r="M13" s="20">
        <v>5</v>
      </c>
      <c r="N13" s="20">
        <v>10</v>
      </c>
      <c r="O13" s="20">
        <v>20</v>
      </c>
      <c r="P13" s="20">
        <v>15</v>
      </c>
      <c r="Q13" s="20">
        <v>15</v>
      </c>
      <c r="R13" s="20">
        <v>10</v>
      </c>
      <c r="S13" s="20">
        <v>5</v>
      </c>
      <c r="T13" s="21">
        <f t="shared" ref="T13:T18" si="4">W13*0.6</f>
        <v>0</v>
      </c>
      <c r="U13" s="21">
        <f t="shared" ref="U13:U18" si="5">W13*0.2</f>
        <v>0</v>
      </c>
      <c r="V13" s="21">
        <f t="shared" ref="V13:V18" si="6">W13*0.2</f>
        <v>0</v>
      </c>
      <c r="W13" s="22">
        <f>2500*G13</f>
        <v>0</v>
      </c>
      <c r="X13" s="1">
        <f t="shared" si="3"/>
        <v>100</v>
      </c>
    </row>
    <row r="14" spans="1:24" x14ac:dyDescent="0.25">
      <c r="C14" s="53"/>
      <c r="D14" s="54"/>
      <c r="E14" s="12">
        <v>2</v>
      </c>
      <c r="F14" s="1" t="s">
        <v>29</v>
      </c>
      <c r="G14" s="16">
        <v>0</v>
      </c>
      <c r="I14" s="20">
        <v>5</v>
      </c>
      <c r="J14" s="20">
        <v>5</v>
      </c>
      <c r="K14" s="20">
        <v>5</v>
      </c>
      <c r="L14" s="20">
        <v>5</v>
      </c>
      <c r="M14" s="20">
        <v>5</v>
      </c>
      <c r="N14" s="20">
        <v>10</v>
      </c>
      <c r="O14" s="20">
        <v>20</v>
      </c>
      <c r="P14" s="20">
        <v>15</v>
      </c>
      <c r="Q14" s="20">
        <v>15</v>
      </c>
      <c r="R14" s="20">
        <v>10</v>
      </c>
      <c r="S14" s="20">
        <v>5</v>
      </c>
      <c r="T14" s="21">
        <f t="shared" si="4"/>
        <v>0</v>
      </c>
      <c r="U14" s="21">
        <f t="shared" si="5"/>
        <v>0</v>
      </c>
      <c r="V14" s="21">
        <f t="shared" si="6"/>
        <v>0</v>
      </c>
      <c r="W14" s="22">
        <f>G14*2500</f>
        <v>0</v>
      </c>
      <c r="X14" s="1">
        <f t="shared" si="3"/>
        <v>100</v>
      </c>
    </row>
    <row r="15" spans="1:24" x14ac:dyDescent="0.25">
      <c r="C15" s="53"/>
      <c r="D15" s="54"/>
      <c r="E15" s="12">
        <v>3</v>
      </c>
      <c r="F15" s="1" t="s">
        <v>29</v>
      </c>
      <c r="G15" s="16">
        <v>0</v>
      </c>
      <c r="I15" s="20">
        <v>5</v>
      </c>
      <c r="J15" s="20">
        <v>5</v>
      </c>
      <c r="K15" s="20">
        <v>5</v>
      </c>
      <c r="L15" s="20">
        <v>5</v>
      </c>
      <c r="M15" s="20">
        <v>5</v>
      </c>
      <c r="N15" s="20">
        <v>10</v>
      </c>
      <c r="O15" s="20">
        <v>20</v>
      </c>
      <c r="P15" s="20">
        <v>15</v>
      </c>
      <c r="Q15" s="20">
        <v>15</v>
      </c>
      <c r="R15" s="20">
        <v>10</v>
      </c>
      <c r="S15" s="20">
        <v>5</v>
      </c>
      <c r="T15" s="21">
        <f t="shared" si="4"/>
        <v>0</v>
      </c>
      <c r="U15" s="21">
        <f t="shared" si="5"/>
        <v>0</v>
      </c>
      <c r="V15" s="21">
        <f t="shared" si="6"/>
        <v>0</v>
      </c>
      <c r="W15" s="22">
        <f>G15*1622.5*1.25</f>
        <v>0</v>
      </c>
      <c r="X15" s="1">
        <f t="shared" si="3"/>
        <v>100</v>
      </c>
    </row>
    <row r="16" spans="1:24" x14ac:dyDescent="0.25">
      <c r="C16" s="53"/>
      <c r="D16" s="54"/>
      <c r="E16" s="12">
        <v>4</v>
      </c>
      <c r="F16" s="1" t="s">
        <v>29</v>
      </c>
      <c r="G16" s="16">
        <v>0</v>
      </c>
      <c r="I16" s="20">
        <v>5</v>
      </c>
      <c r="J16" s="20">
        <v>5</v>
      </c>
      <c r="K16" s="20">
        <v>5</v>
      </c>
      <c r="L16" s="20">
        <v>5</v>
      </c>
      <c r="M16" s="20">
        <v>5</v>
      </c>
      <c r="N16" s="20">
        <v>10</v>
      </c>
      <c r="O16" s="20">
        <v>20</v>
      </c>
      <c r="P16" s="20">
        <v>15</v>
      </c>
      <c r="Q16" s="20">
        <v>15</v>
      </c>
      <c r="R16" s="20">
        <v>10</v>
      </c>
      <c r="S16" s="20">
        <v>5</v>
      </c>
      <c r="T16" s="21">
        <f t="shared" si="4"/>
        <v>0</v>
      </c>
      <c r="U16" s="21">
        <f t="shared" si="5"/>
        <v>0</v>
      </c>
      <c r="V16" s="21">
        <f t="shared" si="6"/>
        <v>0</v>
      </c>
      <c r="W16" s="22">
        <f>G16*1622.5*1.25</f>
        <v>0</v>
      </c>
      <c r="X16" s="1">
        <f t="shared" si="3"/>
        <v>100</v>
      </c>
    </row>
    <row r="17" spans="3:24" x14ac:dyDescent="0.25">
      <c r="C17" s="53"/>
      <c r="D17" s="54"/>
      <c r="E17" s="12">
        <v>5</v>
      </c>
      <c r="F17" s="1" t="s">
        <v>29</v>
      </c>
      <c r="G17" s="16">
        <v>0</v>
      </c>
      <c r="I17" s="20">
        <v>5</v>
      </c>
      <c r="J17" s="20">
        <v>5</v>
      </c>
      <c r="K17" s="20">
        <v>5</v>
      </c>
      <c r="L17" s="20">
        <v>5</v>
      </c>
      <c r="M17" s="20">
        <v>5</v>
      </c>
      <c r="N17" s="20">
        <v>10</v>
      </c>
      <c r="O17" s="20">
        <v>20</v>
      </c>
      <c r="P17" s="20">
        <v>15</v>
      </c>
      <c r="Q17" s="20">
        <v>15</v>
      </c>
      <c r="R17" s="20">
        <v>10</v>
      </c>
      <c r="S17" s="20">
        <v>5</v>
      </c>
      <c r="T17" s="21">
        <f t="shared" si="4"/>
        <v>0</v>
      </c>
      <c r="U17" s="21">
        <f t="shared" si="5"/>
        <v>0</v>
      </c>
      <c r="V17" s="21">
        <f t="shared" si="6"/>
        <v>0</v>
      </c>
      <c r="W17" s="22">
        <f>G17*1622.5*1.25</f>
        <v>0</v>
      </c>
      <c r="X17" s="1">
        <f t="shared" si="3"/>
        <v>100</v>
      </c>
    </row>
    <row r="18" spans="3:24" x14ac:dyDescent="0.25">
      <c r="C18" s="53"/>
      <c r="D18" s="54"/>
      <c r="E18" s="12">
        <v>6</v>
      </c>
      <c r="F18" s="1" t="s">
        <v>29</v>
      </c>
      <c r="G18" s="16">
        <v>0</v>
      </c>
      <c r="I18" s="20">
        <v>5</v>
      </c>
      <c r="J18" s="20">
        <v>5</v>
      </c>
      <c r="K18" s="20">
        <v>5</v>
      </c>
      <c r="L18" s="20">
        <v>5</v>
      </c>
      <c r="M18" s="20">
        <v>5</v>
      </c>
      <c r="N18" s="20">
        <v>10</v>
      </c>
      <c r="O18" s="20">
        <v>20</v>
      </c>
      <c r="P18" s="20">
        <v>15</v>
      </c>
      <c r="Q18" s="20">
        <v>15</v>
      </c>
      <c r="R18" s="20">
        <v>10</v>
      </c>
      <c r="S18" s="20">
        <v>5</v>
      </c>
      <c r="T18" s="21">
        <f t="shared" si="4"/>
        <v>0</v>
      </c>
      <c r="U18" s="21">
        <f t="shared" si="5"/>
        <v>0</v>
      </c>
      <c r="V18" s="21">
        <f t="shared" si="6"/>
        <v>0</v>
      </c>
      <c r="W18" s="22">
        <f>G18*1622.5*1.25</f>
        <v>0</v>
      </c>
      <c r="X18" s="1">
        <f t="shared" si="3"/>
        <v>100</v>
      </c>
    </row>
    <row r="19" spans="3:24" x14ac:dyDescent="0.25">
      <c r="C19" s="53"/>
      <c r="D19" s="54"/>
      <c r="E19" s="12"/>
      <c r="G19" s="16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9"/>
      <c r="U19" s="19"/>
      <c r="V19" s="19"/>
    </row>
    <row r="20" spans="3:24" x14ac:dyDescent="0.25">
      <c r="C20" s="53"/>
      <c r="D20" s="54"/>
      <c r="E20" s="12"/>
      <c r="G20" s="16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3:24" x14ac:dyDescent="0.25">
      <c r="C21" s="23"/>
      <c r="D21" s="24"/>
      <c r="E21" s="12"/>
      <c r="G21" s="1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3:24" x14ac:dyDescent="0.25">
      <c r="C22" s="55" t="s">
        <v>31</v>
      </c>
      <c r="D22" s="45" t="s">
        <v>32</v>
      </c>
      <c r="E22" s="25" t="s">
        <v>33</v>
      </c>
      <c r="F22" s="1" t="s">
        <v>29</v>
      </c>
      <c r="G22" s="16">
        <f>150*3</f>
        <v>450</v>
      </c>
      <c r="I22" s="20"/>
      <c r="J22" s="20"/>
      <c r="K22" s="20"/>
      <c r="L22" s="20">
        <v>5</v>
      </c>
      <c r="M22" s="20">
        <v>15</v>
      </c>
      <c r="N22" s="20">
        <v>20</v>
      </c>
      <c r="O22" s="20">
        <v>20</v>
      </c>
      <c r="P22" s="20">
        <v>20</v>
      </c>
      <c r="Q22" s="20">
        <v>15</v>
      </c>
      <c r="R22" s="20">
        <v>5</v>
      </c>
      <c r="S22" s="20"/>
      <c r="T22" s="20"/>
      <c r="U22" s="21">
        <f>W22*0.6</f>
        <v>4185000</v>
      </c>
      <c r="V22" s="21">
        <f>W22*0.4</f>
        <v>2790000</v>
      </c>
      <c r="W22" s="22">
        <f>G22*15500</f>
        <v>6975000</v>
      </c>
      <c r="X22" s="1">
        <f t="shared" si="3"/>
        <v>100</v>
      </c>
    </row>
    <row r="23" spans="3:24" x14ac:dyDescent="0.25">
      <c r="C23" s="55"/>
      <c r="D23" s="45"/>
      <c r="G23" s="16"/>
    </row>
    <row r="24" spans="3:24" x14ac:dyDescent="0.25">
      <c r="D24" s="26"/>
      <c r="G24" s="16"/>
    </row>
    <row r="25" spans="3:24" ht="15" customHeight="1" x14ac:dyDescent="0.25">
      <c r="C25" s="44" t="s">
        <v>34</v>
      </c>
      <c r="D25" s="45" t="s">
        <v>35</v>
      </c>
      <c r="E25" s="26"/>
    </row>
    <row r="26" spans="3:24" ht="14.25" customHeight="1" x14ac:dyDescent="0.25">
      <c r="C26" s="44"/>
      <c r="D26" s="45"/>
      <c r="E26" s="46" t="s">
        <v>36</v>
      </c>
      <c r="F26" s="1" t="s">
        <v>37</v>
      </c>
      <c r="G26" s="16">
        <v>1.25</v>
      </c>
      <c r="I26" s="28"/>
      <c r="J26" s="28">
        <v>10</v>
      </c>
      <c r="K26" s="28">
        <v>10</v>
      </c>
      <c r="L26" s="28">
        <v>10</v>
      </c>
      <c r="M26" s="28">
        <v>10</v>
      </c>
      <c r="N26" s="28">
        <v>10</v>
      </c>
      <c r="O26" s="28">
        <v>10</v>
      </c>
      <c r="P26" s="28">
        <v>10</v>
      </c>
      <c r="Q26" s="28">
        <v>10</v>
      </c>
      <c r="R26" s="28">
        <v>10</v>
      </c>
      <c r="S26" s="28">
        <v>10</v>
      </c>
      <c r="T26" s="29">
        <f>W26*1</f>
        <v>26392499.999999996</v>
      </c>
      <c r="U26" s="28"/>
      <c r="V26" s="28"/>
      <c r="W26" s="16">
        <f>22950000*1.15</f>
        <v>26392499.999999996</v>
      </c>
      <c r="X26" s="1">
        <f t="shared" si="3"/>
        <v>100</v>
      </c>
    </row>
    <row r="27" spans="3:24" ht="14.25" customHeight="1" x14ac:dyDescent="0.25">
      <c r="C27" s="44"/>
      <c r="D27" s="45"/>
      <c r="E27" s="46"/>
      <c r="G27" s="16"/>
      <c r="W27" s="16"/>
      <c r="X27" s="1">
        <f t="shared" si="3"/>
        <v>0</v>
      </c>
    </row>
    <row r="28" spans="3:24" ht="15" customHeight="1" x14ac:dyDescent="0.25">
      <c r="C28" s="44"/>
      <c r="D28" s="45"/>
      <c r="E28" s="12" t="s">
        <v>133</v>
      </c>
      <c r="F28" s="1" t="s">
        <v>29</v>
      </c>
      <c r="G28" s="16">
        <f>120*9</f>
        <v>1080</v>
      </c>
      <c r="I28" s="1">
        <v>5</v>
      </c>
      <c r="J28" s="1">
        <v>10</v>
      </c>
      <c r="K28" s="1">
        <v>10</v>
      </c>
      <c r="L28" s="1">
        <v>10</v>
      </c>
      <c r="M28" s="1">
        <v>10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v>5</v>
      </c>
      <c r="T28" s="29">
        <f t="shared" ref="T28" si="7">W28*1</f>
        <v>8208000</v>
      </c>
      <c r="W28" s="22">
        <f>G28*3800*2</f>
        <v>8208000</v>
      </c>
      <c r="X28" s="1">
        <f t="shared" si="3"/>
        <v>100</v>
      </c>
    </row>
    <row r="29" spans="3:24" ht="25.5" customHeight="1" x14ac:dyDescent="0.25">
      <c r="C29" s="44"/>
      <c r="D29" s="45"/>
      <c r="E29" s="37" t="s">
        <v>38</v>
      </c>
      <c r="F29" s="38" t="s">
        <v>29</v>
      </c>
      <c r="G29" s="39">
        <f>50*50</f>
        <v>2500</v>
      </c>
      <c r="H29" s="38"/>
      <c r="I29" s="38"/>
      <c r="J29" s="38">
        <v>10</v>
      </c>
      <c r="K29" s="38">
        <v>10</v>
      </c>
      <c r="L29" s="38">
        <v>10</v>
      </c>
      <c r="M29" s="38">
        <v>10</v>
      </c>
      <c r="N29" s="38">
        <v>10</v>
      </c>
      <c r="O29" s="38">
        <v>10</v>
      </c>
      <c r="P29" s="38">
        <v>10</v>
      </c>
      <c r="Q29" s="38">
        <v>10</v>
      </c>
      <c r="R29" s="38">
        <v>10</v>
      </c>
      <c r="S29" s="38">
        <v>10</v>
      </c>
      <c r="T29" s="40">
        <f>W29*1</f>
        <v>24800000</v>
      </c>
      <c r="U29" s="38"/>
      <c r="V29" s="38"/>
      <c r="W29" s="41">
        <f>15500000*1.6</f>
        <v>24800000</v>
      </c>
      <c r="X29" s="38">
        <f t="shared" si="3"/>
        <v>100</v>
      </c>
    </row>
    <row r="30" spans="3:24" ht="15" customHeight="1" x14ac:dyDescent="0.25">
      <c r="C30" s="44"/>
      <c r="D30" s="45"/>
      <c r="E30" s="12"/>
      <c r="G30" s="16"/>
      <c r="T30" s="29"/>
    </row>
    <row r="31" spans="3:24" x14ac:dyDescent="0.25">
      <c r="D31" s="26"/>
      <c r="E31" s="12"/>
      <c r="G31" s="16"/>
      <c r="T31" s="29"/>
    </row>
    <row r="32" spans="3:24" ht="14.25" customHeight="1" x14ac:dyDescent="0.25">
      <c r="C32" s="47" t="s">
        <v>39</v>
      </c>
      <c r="D32" s="45" t="s">
        <v>40</v>
      </c>
      <c r="E32" s="12" t="s">
        <v>41</v>
      </c>
      <c r="F32" s="1" t="s">
        <v>29</v>
      </c>
      <c r="G32" s="16">
        <v>700</v>
      </c>
      <c r="I32" s="10"/>
      <c r="J32" s="28">
        <v>10</v>
      </c>
      <c r="K32" s="28">
        <v>10</v>
      </c>
      <c r="L32" s="28">
        <v>10</v>
      </c>
      <c r="M32" s="28">
        <v>10</v>
      </c>
      <c r="N32" s="28">
        <v>10</v>
      </c>
      <c r="O32" s="28">
        <v>10</v>
      </c>
      <c r="P32" s="28">
        <v>10</v>
      </c>
      <c r="Q32" s="28">
        <v>10</v>
      </c>
      <c r="R32" s="28">
        <v>10</v>
      </c>
      <c r="S32" s="28">
        <v>10</v>
      </c>
      <c r="T32" s="29">
        <f>W32*1</f>
        <v>5484220.8300000001</v>
      </c>
      <c r="W32" s="22">
        <v>5484220.8300000001</v>
      </c>
      <c r="X32" s="1">
        <f t="shared" si="3"/>
        <v>100</v>
      </c>
    </row>
    <row r="33" spans="3:24" ht="14.25" customHeight="1" x14ac:dyDescent="0.25">
      <c r="C33" s="47"/>
      <c r="D33" s="45"/>
      <c r="E33" s="12" t="s">
        <v>42</v>
      </c>
      <c r="F33" s="1" t="s">
        <v>29</v>
      </c>
      <c r="G33" s="16">
        <f>1*6*70</f>
        <v>420</v>
      </c>
      <c r="I33" s="10"/>
      <c r="J33" s="28">
        <v>10</v>
      </c>
      <c r="K33" s="28">
        <v>10</v>
      </c>
      <c r="L33" s="28">
        <v>10</v>
      </c>
      <c r="M33" s="28">
        <v>10</v>
      </c>
      <c r="N33" s="28">
        <v>10</v>
      </c>
      <c r="O33" s="28">
        <v>10</v>
      </c>
      <c r="P33" s="28">
        <v>10</v>
      </c>
      <c r="Q33" s="28">
        <v>10</v>
      </c>
      <c r="R33" s="28">
        <v>10</v>
      </c>
      <c r="S33" s="28">
        <v>10</v>
      </c>
      <c r="T33" s="29">
        <f>W33*1</f>
        <v>3681300</v>
      </c>
      <c r="W33" s="22">
        <f>G33*8765</f>
        <v>3681300</v>
      </c>
      <c r="X33" s="1">
        <f t="shared" si="3"/>
        <v>100</v>
      </c>
    </row>
    <row r="34" spans="3:24" ht="14.25" customHeight="1" x14ac:dyDescent="0.25">
      <c r="C34" s="47"/>
      <c r="D34" s="45"/>
      <c r="E34" s="12" t="s">
        <v>43</v>
      </c>
      <c r="F34" s="1" t="s">
        <v>29</v>
      </c>
      <c r="G34" s="16">
        <v>500</v>
      </c>
      <c r="I34" s="10"/>
      <c r="J34" s="28">
        <v>10</v>
      </c>
      <c r="K34" s="28">
        <v>10</v>
      </c>
      <c r="L34" s="28">
        <v>10</v>
      </c>
      <c r="M34" s="28">
        <v>10</v>
      </c>
      <c r="N34" s="28">
        <v>10</v>
      </c>
      <c r="O34" s="28">
        <v>10</v>
      </c>
      <c r="P34" s="28">
        <v>10</v>
      </c>
      <c r="Q34" s="28">
        <v>10</v>
      </c>
      <c r="R34" s="28">
        <v>10</v>
      </c>
      <c r="S34" s="28">
        <v>10</v>
      </c>
      <c r="T34" s="29">
        <f>W34*1</f>
        <v>4382500</v>
      </c>
      <c r="W34" s="22">
        <f>G34*8765</f>
        <v>4382500</v>
      </c>
      <c r="X34" s="1">
        <f t="shared" si="3"/>
        <v>100</v>
      </c>
    </row>
    <row r="35" spans="3:24" ht="15" customHeight="1" x14ac:dyDescent="0.25">
      <c r="C35" s="47"/>
      <c r="D35" s="45"/>
      <c r="E35" s="12" t="s">
        <v>44</v>
      </c>
      <c r="F35" s="1" t="s">
        <v>29</v>
      </c>
      <c r="G35" s="16">
        <v>669</v>
      </c>
      <c r="I35" s="10"/>
      <c r="J35" s="28">
        <v>10</v>
      </c>
      <c r="K35" s="28">
        <v>10</v>
      </c>
      <c r="L35" s="28">
        <v>10</v>
      </c>
      <c r="M35" s="28">
        <v>10</v>
      </c>
      <c r="N35" s="28">
        <v>10</v>
      </c>
      <c r="O35" s="28">
        <v>10</v>
      </c>
      <c r="P35" s="28">
        <v>10</v>
      </c>
      <c r="Q35" s="28">
        <v>10</v>
      </c>
      <c r="R35" s="28">
        <v>10</v>
      </c>
      <c r="S35" s="28">
        <v>10</v>
      </c>
      <c r="T35" s="29">
        <f t="shared" ref="T35:T40" si="8">W35*1</f>
        <v>3414292.6066434667</v>
      </c>
      <c r="W35" s="22">
        <f>2968950.09273345*1.15</f>
        <v>3414292.6066434667</v>
      </c>
      <c r="X35" s="1">
        <f t="shared" si="3"/>
        <v>100</v>
      </c>
    </row>
    <row r="36" spans="3:24" ht="15" customHeight="1" x14ac:dyDescent="0.25">
      <c r="C36" s="47"/>
      <c r="D36" s="45"/>
      <c r="E36" s="12" t="s">
        <v>45</v>
      </c>
      <c r="F36" s="1" t="s">
        <v>29</v>
      </c>
      <c r="G36" s="16">
        <v>769</v>
      </c>
      <c r="I36" s="10"/>
      <c r="J36" s="28">
        <v>10</v>
      </c>
      <c r="K36" s="28">
        <v>10</v>
      </c>
      <c r="L36" s="28">
        <v>10</v>
      </c>
      <c r="M36" s="28">
        <v>10</v>
      </c>
      <c r="N36" s="28">
        <v>10</v>
      </c>
      <c r="O36" s="28">
        <v>10</v>
      </c>
      <c r="P36" s="28">
        <v>10</v>
      </c>
      <c r="Q36" s="28">
        <v>10</v>
      </c>
      <c r="R36" s="28">
        <v>10</v>
      </c>
      <c r="S36" s="28">
        <v>10</v>
      </c>
      <c r="T36" s="29">
        <f t="shared" si="8"/>
        <v>3754013.2786894254</v>
      </c>
      <c r="W36" s="22">
        <f>(2968950.09273345/669)*G36*1.1</f>
        <v>3754013.2786894254</v>
      </c>
      <c r="X36" s="1">
        <f t="shared" si="3"/>
        <v>100</v>
      </c>
    </row>
    <row r="37" spans="3:24" ht="15" customHeight="1" x14ac:dyDescent="0.25">
      <c r="C37" s="47"/>
      <c r="D37" s="45"/>
      <c r="E37" s="12" t="s">
        <v>46</v>
      </c>
      <c r="F37" s="1" t="s">
        <v>29</v>
      </c>
      <c r="G37" s="16">
        <v>669</v>
      </c>
      <c r="I37" s="10"/>
      <c r="J37" s="28">
        <v>10</v>
      </c>
      <c r="K37" s="28">
        <v>10</v>
      </c>
      <c r="L37" s="28">
        <v>10</v>
      </c>
      <c r="M37" s="28">
        <v>10</v>
      </c>
      <c r="N37" s="28">
        <v>10</v>
      </c>
      <c r="O37" s="28">
        <v>10</v>
      </c>
      <c r="P37" s="28">
        <v>10</v>
      </c>
      <c r="Q37" s="28">
        <v>10</v>
      </c>
      <c r="R37" s="28">
        <v>10</v>
      </c>
      <c r="S37" s="28">
        <v>10</v>
      </c>
      <c r="T37" s="29">
        <f t="shared" si="8"/>
        <v>3117397.5973701226</v>
      </c>
      <c r="W37" s="22">
        <f>2968950.09273345*1.05</f>
        <v>3117397.5973701226</v>
      </c>
      <c r="X37" s="1">
        <f t="shared" si="3"/>
        <v>100</v>
      </c>
    </row>
    <row r="38" spans="3:24" ht="15" customHeight="1" x14ac:dyDescent="0.25">
      <c r="C38" s="47"/>
      <c r="D38" s="45"/>
      <c r="E38" s="12" t="s">
        <v>47</v>
      </c>
      <c r="F38" s="1" t="s">
        <v>29</v>
      </c>
      <c r="G38" s="16">
        <f>30*75</f>
        <v>2250</v>
      </c>
      <c r="I38" s="10"/>
      <c r="J38" s="28">
        <v>10</v>
      </c>
      <c r="K38" s="28">
        <v>10</v>
      </c>
      <c r="L38" s="28">
        <v>10</v>
      </c>
      <c r="M38" s="28">
        <v>10</v>
      </c>
      <c r="N38" s="28">
        <v>10</v>
      </c>
      <c r="O38" s="28">
        <v>10</v>
      </c>
      <c r="P38" s="28">
        <v>10</v>
      </c>
      <c r="Q38" s="28">
        <v>10</v>
      </c>
      <c r="R38" s="28">
        <v>10</v>
      </c>
      <c r="S38" s="28">
        <v>10</v>
      </c>
      <c r="T38" s="29">
        <f t="shared" si="8"/>
        <v>4468500</v>
      </c>
      <c r="W38" s="22">
        <f>G38*1986</f>
        <v>4468500</v>
      </c>
      <c r="X38" s="1">
        <f t="shared" si="3"/>
        <v>100</v>
      </c>
    </row>
    <row r="39" spans="3:24" ht="15" customHeight="1" x14ac:dyDescent="0.25">
      <c r="C39" s="47"/>
      <c r="D39" s="45"/>
      <c r="E39" s="34" t="s">
        <v>134</v>
      </c>
      <c r="F39" s="20" t="s">
        <v>29</v>
      </c>
      <c r="G39" s="21">
        <v>5000</v>
      </c>
      <c r="H39" s="20"/>
      <c r="I39" s="20"/>
      <c r="J39" s="20">
        <v>10</v>
      </c>
      <c r="K39" s="20">
        <v>10</v>
      </c>
      <c r="L39" s="20">
        <v>10</v>
      </c>
      <c r="M39" s="20">
        <v>10</v>
      </c>
      <c r="N39" s="20">
        <v>10</v>
      </c>
      <c r="O39" s="20">
        <v>10</v>
      </c>
      <c r="P39" s="20">
        <v>10</v>
      </c>
      <c r="Q39" s="20">
        <v>10</v>
      </c>
      <c r="R39" s="20">
        <v>10</v>
      </c>
      <c r="S39" s="20">
        <v>10</v>
      </c>
      <c r="T39" s="35">
        <f t="shared" si="8"/>
        <v>13825000</v>
      </c>
      <c r="U39" s="20"/>
      <c r="V39" s="20"/>
      <c r="W39" s="36">
        <f>G39*2765</f>
        <v>13825000</v>
      </c>
      <c r="X39" s="20">
        <f t="shared" si="3"/>
        <v>100</v>
      </c>
    </row>
    <row r="40" spans="3:24" ht="15" customHeight="1" x14ac:dyDescent="0.25">
      <c r="C40" s="47"/>
      <c r="D40" s="45"/>
      <c r="E40" s="12"/>
      <c r="F40" s="1" t="s">
        <v>29</v>
      </c>
      <c r="G40" s="16">
        <v>500</v>
      </c>
      <c r="I40" s="10"/>
      <c r="J40" s="28">
        <v>10</v>
      </c>
      <c r="K40" s="28">
        <v>10</v>
      </c>
      <c r="L40" s="28">
        <v>10</v>
      </c>
      <c r="M40" s="28">
        <v>10</v>
      </c>
      <c r="N40" s="28">
        <v>10</v>
      </c>
      <c r="O40" s="28">
        <v>10</v>
      </c>
      <c r="P40" s="28">
        <v>10</v>
      </c>
      <c r="Q40" s="28">
        <v>10</v>
      </c>
      <c r="R40" s="28">
        <v>10</v>
      </c>
      <c r="S40" s="28">
        <v>10</v>
      </c>
      <c r="T40" s="29">
        <f t="shared" si="8"/>
        <v>4382500</v>
      </c>
      <c r="W40" s="22">
        <f t="shared" ref="W40" si="9">G40*8765</f>
        <v>4382500</v>
      </c>
      <c r="X40" s="1">
        <f t="shared" si="3"/>
        <v>100</v>
      </c>
    </row>
    <row r="41" spans="3:24" ht="14.25" customHeight="1" x14ac:dyDescent="0.25">
      <c r="C41" s="48" t="s">
        <v>48</v>
      </c>
      <c r="D41" s="45" t="s">
        <v>49</v>
      </c>
      <c r="E41" s="12"/>
      <c r="G41" s="16"/>
    </row>
    <row r="42" spans="3:24" ht="14.25" customHeight="1" x14ac:dyDescent="0.25">
      <c r="C42" s="48"/>
      <c r="D42" s="45"/>
      <c r="E42" s="34" t="s">
        <v>50</v>
      </c>
      <c r="F42" s="20" t="s">
        <v>29</v>
      </c>
      <c r="G42" s="21">
        <v>25787</v>
      </c>
      <c r="H42" s="20"/>
      <c r="I42" s="20">
        <v>5</v>
      </c>
      <c r="J42" s="20">
        <v>10</v>
      </c>
      <c r="K42" s="20">
        <v>10</v>
      </c>
      <c r="L42" s="20">
        <v>10</v>
      </c>
      <c r="M42" s="20">
        <v>10</v>
      </c>
      <c r="N42" s="20">
        <v>10</v>
      </c>
      <c r="O42" s="20">
        <v>10</v>
      </c>
      <c r="P42" s="20">
        <v>10</v>
      </c>
      <c r="Q42" s="20">
        <v>10</v>
      </c>
      <c r="R42" s="20">
        <v>10</v>
      </c>
      <c r="S42" s="20">
        <v>5</v>
      </c>
      <c r="T42" s="35">
        <f>W42*1.25</f>
        <v>15914456.144381249</v>
      </c>
      <c r="U42" s="20"/>
      <c r="V42" s="20"/>
      <c r="W42" s="36">
        <v>12731564.915504999</v>
      </c>
      <c r="X42" s="20">
        <f t="shared" si="3"/>
        <v>100</v>
      </c>
    </row>
    <row r="43" spans="3:24" ht="14.25" customHeight="1" x14ac:dyDescent="0.25">
      <c r="C43" s="48"/>
      <c r="D43" s="45"/>
      <c r="E43" s="12" t="s">
        <v>51</v>
      </c>
      <c r="F43" s="1" t="s">
        <v>29</v>
      </c>
      <c r="G43" s="16">
        <v>6350</v>
      </c>
      <c r="I43" s="28">
        <v>5</v>
      </c>
      <c r="J43" s="28">
        <v>10</v>
      </c>
      <c r="K43" s="28">
        <v>10</v>
      </c>
      <c r="L43" s="28">
        <v>10</v>
      </c>
      <c r="M43" s="28">
        <v>10</v>
      </c>
      <c r="N43" s="28">
        <v>10</v>
      </c>
      <c r="O43" s="28">
        <v>10</v>
      </c>
      <c r="P43" s="28">
        <v>10</v>
      </c>
      <c r="Q43" s="28">
        <v>10</v>
      </c>
      <c r="R43" s="28">
        <v>10</v>
      </c>
      <c r="S43" s="28">
        <v>5</v>
      </c>
      <c r="T43" s="29">
        <f>W43*1</f>
        <v>49498250</v>
      </c>
      <c r="U43" s="10"/>
      <c r="V43" s="10"/>
      <c r="W43" s="30">
        <f>G43*7795</f>
        <v>49498250</v>
      </c>
      <c r="X43" s="1">
        <f t="shared" si="3"/>
        <v>100</v>
      </c>
    </row>
    <row r="44" spans="3:24" ht="14.25" customHeight="1" x14ac:dyDescent="0.25">
      <c r="C44" s="48"/>
      <c r="D44" s="45"/>
      <c r="E44" s="12" t="s">
        <v>52</v>
      </c>
      <c r="F44" s="1" t="s">
        <v>29</v>
      </c>
      <c r="G44" s="16">
        <v>6298</v>
      </c>
      <c r="I44" s="28">
        <v>5</v>
      </c>
      <c r="J44" s="28">
        <v>10</v>
      </c>
      <c r="K44" s="28">
        <v>10</v>
      </c>
      <c r="L44" s="28">
        <v>10</v>
      </c>
      <c r="M44" s="28">
        <v>10</v>
      </c>
      <c r="N44" s="28">
        <v>10</v>
      </c>
      <c r="O44" s="28">
        <v>10</v>
      </c>
      <c r="P44" s="28">
        <v>10</v>
      </c>
      <c r="Q44" s="28">
        <v>10</v>
      </c>
      <c r="R44" s="28">
        <v>10</v>
      </c>
      <c r="S44" s="28">
        <v>5</v>
      </c>
      <c r="T44" s="29">
        <f t="shared" ref="T44:T56" si="10">W44*1</f>
        <v>49092910</v>
      </c>
      <c r="U44" s="10"/>
      <c r="V44" s="10"/>
      <c r="W44" s="30">
        <f>G44*7795</f>
        <v>49092910</v>
      </c>
      <c r="X44" s="1">
        <f t="shared" si="3"/>
        <v>100</v>
      </c>
    </row>
    <row r="45" spans="3:24" ht="14.25" customHeight="1" x14ac:dyDescent="0.25">
      <c r="C45" s="48"/>
      <c r="D45" s="45"/>
      <c r="E45" s="12" t="s">
        <v>53</v>
      </c>
      <c r="F45" s="1" t="s">
        <v>29</v>
      </c>
      <c r="G45" s="16">
        <v>5900</v>
      </c>
      <c r="I45" s="28">
        <v>5</v>
      </c>
      <c r="J45" s="28">
        <v>10</v>
      </c>
      <c r="K45" s="28">
        <v>10</v>
      </c>
      <c r="L45" s="28">
        <v>10</v>
      </c>
      <c r="M45" s="28">
        <v>10</v>
      </c>
      <c r="N45" s="28">
        <v>10</v>
      </c>
      <c r="O45" s="28">
        <v>10</v>
      </c>
      <c r="P45" s="28">
        <v>10</v>
      </c>
      <c r="Q45" s="28">
        <v>10</v>
      </c>
      <c r="R45" s="28">
        <v>10</v>
      </c>
      <c r="S45" s="28">
        <v>5</v>
      </c>
      <c r="T45" s="29">
        <f t="shared" si="10"/>
        <v>7779643.3719999995</v>
      </c>
      <c r="U45" s="10"/>
      <c r="V45" s="10"/>
      <c r="W45" s="30">
        <f>6764907.28*1.15</f>
        <v>7779643.3719999995</v>
      </c>
      <c r="X45" s="1">
        <f t="shared" si="3"/>
        <v>100</v>
      </c>
    </row>
    <row r="46" spans="3:24" ht="14.25" customHeight="1" x14ac:dyDescent="0.25">
      <c r="C46" s="48"/>
      <c r="D46" s="45"/>
      <c r="E46" s="12" t="s">
        <v>54</v>
      </c>
      <c r="F46" s="1" t="s">
        <v>29</v>
      </c>
      <c r="G46" s="16">
        <v>4914</v>
      </c>
      <c r="I46" s="28">
        <v>5</v>
      </c>
      <c r="J46" s="28">
        <v>10</v>
      </c>
      <c r="K46" s="28">
        <v>10</v>
      </c>
      <c r="L46" s="28">
        <v>10</v>
      </c>
      <c r="M46" s="28">
        <v>10</v>
      </c>
      <c r="N46" s="28">
        <v>10</v>
      </c>
      <c r="O46" s="28">
        <v>10</v>
      </c>
      <c r="P46" s="28">
        <v>10</v>
      </c>
      <c r="Q46" s="28">
        <v>10</v>
      </c>
      <c r="R46" s="28">
        <v>10</v>
      </c>
      <c r="S46" s="28">
        <v>5</v>
      </c>
      <c r="T46" s="29">
        <f>W46*1</f>
        <v>5256956.25</v>
      </c>
      <c r="U46" s="10"/>
      <c r="V46" s="10"/>
      <c r="W46" s="30">
        <f>4205565*1.25</f>
        <v>5256956.25</v>
      </c>
      <c r="X46" s="1">
        <f t="shared" si="3"/>
        <v>100</v>
      </c>
    </row>
    <row r="47" spans="3:24" ht="14.25" customHeight="1" x14ac:dyDescent="0.25">
      <c r="C47" s="48"/>
      <c r="D47" s="45"/>
      <c r="E47" s="12" t="s">
        <v>55</v>
      </c>
      <c r="F47" s="1" t="s">
        <v>29</v>
      </c>
      <c r="G47" s="16">
        <v>4896</v>
      </c>
      <c r="I47" s="28">
        <v>5</v>
      </c>
      <c r="J47" s="28">
        <v>10</v>
      </c>
      <c r="K47" s="28">
        <v>10</v>
      </c>
      <c r="L47" s="28">
        <v>10</v>
      </c>
      <c r="M47" s="28">
        <v>10</v>
      </c>
      <c r="N47" s="28">
        <v>10</v>
      </c>
      <c r="O47" s="28">
        <v>10</v>
      </c>
      <c r="P47" s="28">
        <v>10</v>
      </c>
      <c r="Q47" s="28">
        <v>10</v>
      </c>
      <c r="R47" s="28">
        <v>10</v>
      </c>
      <c r="S47" s="28">
        <v>5</v>
      </c>
      <c r="T47" s="29">
        <f t="shared" si="10"/>
        <v>5222236.25</v>
      </c>
      <c r="U47" s="10"/>
      <c r="V47" s="10"/>
      <c r="W47" s="30">
        <f>4177789*1.25</f>
        <v>5222236.25</v>
      </c>
      <c r="X47" s="1">
        <f t="shared" si="3"/>
        <v>100</v>
      </c>
    </row>
    <row r="48" spans="3:24" ht="14.25" customHeight="1" x14ac:dyDescent="0.25">
      <c r="C48" s="48"/>
      <c r="D48" s="45"/>
      <c r="E48" s="12" t="s">
        <v>56</v>
      </c>
      <c r="F48" s="1" t="s">
        <v>29</v>
      </c>
      <c r="G48" s="16">
        <v>3846</v>
      </c>
      <c r="I48" s="28">
        <v>5</v>
      </c>
      <c r="J48" s="28">
        <v>10</v>
      </c>
      <c r="K48" s="28">
        <v>10</v>
      </c>
      <c r="L48" s="28">
        <v>10</v>
      </c>
      <c r="M48" s="28">
        <v>10</v>
      </c>
      <c r="N48" s="28">
        <v>10</v>
      </c>
      <c r="O48" s="28">
        <v>10</v>
      </c>
      <c r="P48" s="28">
        <v>10</v>
      </c>
      <c r="Q48" s="28">
        <v>10</v>
      </c>
      <c r="R48" s="28">
        <v>10</v>
      </c>
      <c r="S48" s="28">
        <v>5</v>
      </c>
      <c r="T48" s="29">
        <f t="shared" si="10"/>
        <v>4040306.25</v>
      </c>
      <c r="W48" s="22">
        <f>3232245*1.25</f>
        <v>4040306.25</v>
      </c>
      <c r="X48" s="1">
        <f t="shared" si="3"/>
        <v>100</v>
      </c>
    </row>
    <row r="49" spans="3:24" ht="30" x14ac:dyDescent="0.25">
      <c r="C49" s="48"/>
      <c r="D49" s="45"/>
      <c r="E49" s="12" t="s">
        <v>57</v>
      </c>
      <c r="F49" s="1" t="s">
        <v>29</v>
      </c>
      <c r="G49" s="16">
        <v>3785</v>
      </c>
      <c r="I49" s="28">
        <v>5</v>
      </c>
      <c r="J49" s="28">
        <v>10</v>
      </c>
      <c r="K49" s="28">
        <v>10</v>
      </c>
      <c r="L49" s="28">
        <v>10</v>
      </c>
      <c r="M49" s="28">
        <v>10</v>
      </c>
      <c r="N49" s="28">
        <v>10</v>
      </c>
      <c r="O49" s="28">
        <v>10</v>
      </c>
      <c r="P49" s="28">
        <v>10</v>
      </c>
      <c r="Q49" s="28">
        <v>10</v>
      </c>
      <c r="R49" s="28">
        <v>10</v>
      </c>
      <c r="S49" s="28">
        <v>5</v>
      </c>
      <c r="T49" s="29">
        <f t="shared" si="10"/>
        <v>6890000</v>
      </c>
      <c r="W49" s="22">
        <f>5300000*1.3</f>
        <v>6890000</v>
      </c>
      <c r="X49" s="1">
        <f t="shared" si="3"/>
        <v>100</v>
      </c>
    </row>
    <row r="50" spans="3:24" ht="30" x14ac:dyDescent="0.25">
      <c r="C50" s="48"/>
      <c r="D50" s="45"/>
      <c r="E50" s="12" t="s">
        <v>58</v>
      </c>
      <c r="F50" s="1" t="s">
        <v>29</v>
      </c>
      <c r="G50" s="16">
        <f>W50/1250</f>
        <v>3645.2</v>
      </c>
      <c r="T50" s="29">
        <f t="shared" si="10"/>
        <v>4556500</v>
      </c>
      <c r="W50" s="22">
        <f>3645200*1.25</f>
        <v>4556500</v>
      </c>
      <c r="X50" s="1">
        <f t="shared" si="3"/>
        <v>0</v>
      </c>
    </row>
    <row r="51" spans="3:24" ht="14.25" customHeight="1" x14ac:dyDescent="0.25">
      <c r="C51" s="48"/>
      <c r="D51" s="45"/>
      <c r="E51" s="12" t="s">
        <v>59</v>
      </c>
      <c r="F51" s="1" t="s">
        <v>29</v>
      </c>
      <c r="G51" s="16">
        <f>W51/1250</f>
        <v>2504.6439999999998</v>
      </c>
      <c r="T51" s="29">
        <f t="shared" si="10"/>
        <v>3130805</v>
      </c>
      <c r="W51" s="22">
        <f>2504644*1.25</f>
        <v>3130805</v>
      </c>
      <c r="X51" s="1">
        <f t="shared" si="3"/>
        <v>0</v>
      </c>
    </row>
    <row r="52" spans="3:24" ht="30" x14ac:dyDescent="0.25">
      <c r="C52" s="48"/>
      <c r="D52" s="45"/>
      <c r="E52" s="12" t="s">
        <v>60</v>
      </c>
      <c r="F52" s="1" t="s">
        <v>29</v>
      </c>
      <c r="G52" s="16">
        <f>W52/1250</f>
        <v>2062.5936000000002</v>
      </c>
      <c r="T52" s="29">
        <f t="shared" si="10"/>
        <v>2578242</v>
      </c>
      <c r="W52" s="22">
        <v>2578242</v>
      </c>
      <c r="X52" s="1">
        <f t="shared" si="3"/>
        <v>0</v>
      </c>
    </row>
    <row r="53" spans="3:24" ht="45" x14ac:dyDescent="0.25">
      <c r="C53" s="48"/>
      <c r="D53" s="45"/>
      <c r="E53" s="12" t="s">
        <v>61</v>
      </c>
      <c r="F53" s="1" t="s">
        <v>29</v>
      </c>
      <c r="G53" s="16">
        <f>W53/1250</f>
        <v>3654.1849999999999</v>
      </c>
      <c r="T53" s="29">
        <f t="shared" si="10"/>
        <v>4567731.25</v>
      </c>
      <c r="W53" s="22">
        <f>3654185*1.25</f>
        <v>4567731.25</v>
      </c>
      <c r="X53" s="1">
        <f t="shared" si="3"/>
        <v>0</v>
      </c>
    </row>
    <row r="54" spans="3:24" ht="14.25" customHeight="1" x14ac:dyDescent="0.25">
      <c r="C54" s="48"/>
      <c r="D54" s="45"/>
      <c r="E54" s="12" t="s">
        <v>62</v>
      </c>
      <c r="F54" s="1" t="s">
        <v>29</v>
      </c>
      <c r="G54" s="16">
        <f>120*12</f>
        <v>1440</v>
      </c>
      <c r="I54" s="1">
        <v>5</v>
      </c>
      <c r="J54" s="1">
        <v>10</v>
      </c>
      <c r="K54" s="1">
        <v>10</v>
      </c>
      <c r="L54" s="1">
        <v>10</v>
      </c>
      <c r="M54" s="1">
        <v>10</v>
      </c>
      <c r="N54" s="1">
        <v>10</v>
      </c>
      <c r="O54" s="1">
        <v>10</v>
      </c>
      <c r="P54" s="1">
        <v>10</v>
      </c>
      <c r="Q54" s="1">
        <v>10</v>
      </c>
      <c r="R54" s="1">
        <v>10</v>
      </c>
      <c r="S54" s="1">
        <v>5</v>
      </c>
      <c r="T54" s="29">
        <f t="shared" si="10"/>
        <v>2592000</v>
      </c>
      <c r="W54" s="22">
        <f>G54*1800</f>
        <v>2592000</v>
      </c>
      <c r="X54" s="1">
        <f t="shared" si="3"/>
        <v>100</v>
      </c>
    </row>
    <row r="55" spans="3:24" ht="14.25" customHeight="1" x14ac:dyDescent="0.25">
      <c r="C55" s="48"/>
      <c r="D55" s="45"/>
      <c r="E55" s="12" t="s">
        <v>63</v>
      </c>
      <c r="F55" s="1" t="s">
        <v>29</v>
      </c>
      <c r="G55" s="16">
        <f>70*12</f>
        <v>840</v>
      </c>
      <c r="I55" s="1">
        <v>5</v>
      </c>
      <c r="J55" s="1">
        <v>10</v>
      </c>
      <c r="K55" s="1">
        <v>10</v>
      </c>
      <c r="L55" s="1">
        <v>10</v>
      </c>
      <c r="M55" s="1">
        <v>10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v>5</v>
      </c>
      <c r="T55" s="29">
        <f t="shared" si="10"/>
        <v>1512000</v>
      </c>
      <c r="W55" s="22">
        <f>G55*1800</f>
        <v>1512000</v>
      </c>
      <c r="X55" s="1">
        <f t="shared" si="3"/>
        <v>100</v>
      </c>
    </row>
    <row r="56" spans="3:24" ht="14.25" customHeight="1" x14ac:dyDescent="0.25">
      <c r="C56" s="48"/>
      <c r="D56" s="45"/>
      <c r="E56" s="12" t="s">
        <v>64</v>
      </c>
      <c r="F56" s="1" t="s">
        <v>29</v>
      </c>
      <c r="G56" s="16">
        <f>72*9</f>
        <v>648</v>
      </c>
      <c r="I56" s="1">
        <v>5</v>
      </c>
      <c r="J56" s="1">
        <v>10</v>
      </c>
      <c r="K56" s="1">
        <v>10</v>
      </c>
      <c r="L56" s="1">
        <v>10</v>
      </c>
      <c r="M56" s="1">
        <v>10</v>
      </c>
      <c r="N56" s="1">
        <v>10</v>
      </c>
      <c r="O56" s="1">
        <v>10</v>
      </c>
      <c r="P56" s="1">
        <v>10</v>
      </c>
      <c r="Q56" s="1">
        <v>10</v>
      </c>
      <c r="R56" s="1">
        <v>10</v>
      </c>
      <c r="S56" s="1">
        <v>5</v>
      </c>
      <c r="T56" s="29">
        <f t="shared" si="10"/>
        <v>1166400</v>
      </c>
      <c r="W56" s="22">
        <f>G56*1800</f>
        <v>1166400</v>
      </c>
      <c r="X56" s="1">
        <f t="shared" si="3"/>
        <v>100</v>
      </c>
    </row>
    <row r="57" spans="3:24" ht="14.25" customHeight="1" x14ac:dyDescent="0.25">
      <c r="C57" s="48"/>
      <c r="D57" s="45"/>
      <c r="E57" s="12"/>
      <c r="G57" s="16"/>
      <c r="T57" s="29"/>
      <c r="X57" s="1">
        <f t="shared" si="3"/>
        <v>0</v>
      </c>
    </row>
    <row r="58" spans="3:24" ht="30" x14ac:dyDescent="0.25">
      <c r="C58" s="48"/>
      <c r="D58" s="45"/>
      <c r="E58" s="12" t="s">
        <v>65</v>
      </c>
      <c r="F58" s="1" t="s">
        <v>66</v>
      </c>
      <c r="G58" s="16">
        <v>1</v>
      </c>
      <c r="I58" s="1">
        <v>5</v>
      </c>
      <c r="J58" s="1">
        <v>10</v>
      </c>
      <c r="K58" s="1">
        <v>10</v>
      </c>
      <c r="L58" s="1">
        <v>10</v>
      </c>
      <c r="M58" s="1">
        <v>10</v>
      </c>
      <c r="N58" s="1">
        <v>10</v>
      </c>
      <c r="O58" s="1">
        <v>10</v>
      </c>
      <c r="P58" s="1">
        <v>10</v>
      </c>
      <c r="Q58" s="1">
        <v>10</v>
      </c>
      <c r="R58" s="1">
        <v>10</v>
      </c>
      <c r="S58" s="1">
        <v>5</v>
      </c>
      <c r="T58" s="29">
        <f t="shared" ref="T58:T70" si="11">W58*1</f>
        <v>2925000</v>
      </c>
      <c r="W58" s="22">
        <f>25*15*7800</f>
        <v>2925000</v>
      </c>
      <c r="X58" s="1">
        <f t="shared" si="3"/>
        <v>100</v>
      </c>
    </row>
    <row r="59" spans="3:24" ht="30" x14ac:dyDescent="0.25">
      <c r="C59" s="48"/>
      <c r="D59" s="45"/>
      <c r="E59" s="1" t="s">
        <v>67</v>
      </c>
      <c r="F59" s="1" t="s">
        <v>29</v>
      </c>
      <c r="G59" s="1">
        <f>296*12</f>
        <v>3552</v>
      </c>
      <c r="I59" s="1">
        <v>5</v>
      </c>
      <c r="J59" s="1">
        <v>10</v>
      </c>
      <c r="K59" s="1">
        <v>10</v>
      </c>
      <c r="L59" s="1">
        <v>10</v>
      </c>
      <c r="M59" s="1">
        <v>10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v>5</v>
      </c>
      <c r="T59" s="29">
        <f t="shared" si="11"/>
        <v>6393600</v>
      </c>
      <c r="W59" s="22">
        <f>G59*1800</f>
        <v>6393600</v>
      </c>
      <c r="X59" s="1">
        <f t="shared" si="3"/>
        <v>100</v>
      </c>
    </row>
    <row r="60" spans="3:24" ht="14.25" customHeight="1" x14ac:dyDescent="0.25">
      <c r="C60" s="48"/>
      <c r="D60" s="45"/>
      <c r="E60" s="12" t="s">
        <v>68</v>
      </c>
      <c r="F60" s="1" t="s">
        <v>29</v>
      </c>
      <c r="G60" s="1">
        <f>322*10</f>
        <v>3220</v>
      </c>
      <c r="I60" s="1">
        <v>5</v>
      </c>
      <c r="J60" s="1">
        <v>10</v>
      </c>
      <c r="K60" s="1">
        <v>10</v>
      </c>
      <c r="L60" s="1">
        <v>10</v>
      </c>
      <c r="M60" s="1">
        <v>10</v>
      </c>
      <c r="N60" s="1">
        <v>10</v>
      </c>
      <c r="O60" s="1">
        <v>10</v>
      </c>
      <c r="P60" s="1">
        <v>10</v>
      </c>
      <c r="Q60" s="1">
        <v>10</v>
      </c>
      <c r="R60" s="1">
        <v>10</v>
      </c>
      <c r="S60" s="1">
        <v>5</v>
      </c>
      <c r="T60" s="29">
        <f t="shared" si="11"/>
        <v>5796000</v>
      </c>
      <c r="W60" s="22">
        <f>G60*1800</f>
        <v>5796000</v>
      </c>
      <c r="X60" s="1">
        <f t="shared" si="3"/>
        <v>100</v>
      </c>
    </row>
    <row r="61" spans="3:24" ht="14.25" customHeight="1" x14ac:dyDescent="0.25">
      <c r="C61" s="48"/>
      <c r="D61" s="45"/>
      <c r="E61" s="12" t="s">
        <v>69</v>
      </c>
      <c r="F61" s="1" t="s">
        <v>29</v>
      </c>
      <c r="G61" s="1">
        <f>128*12</f>
        <v>1536</v>
      </c>
      <c r="I61" s="1">
        <v>5</v>
      </c>
      <c r="J61" s="1">
        <v>10</v>
      </c>
      <c r="K61" s="1">
        <v>10</v>
      </c>
      <c r="L61" s="1">
        <v>10</v>
      </c>
      <c r="M61" s="1">
        <v>10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v>5</v>
      </c>
      <c r="T61" s="29">
        <f t="shared" si="11"/>
        <v>2764800</v>
      </c>
      <c r="W61" s="22">
        <f>G61*1800</f>
        <v>2764800</v>
      </c>
      <c r="X61" s="1">
        <f t="shared" si="3"/>
        <v>100</v>
      </c>
    </row>
    <row r="62" spans="3:24" ht="14.25" customHeight="1" x14ac:dyDescent="0.25">
      <c r="C62" s="48"/>
      <c r="D62" s="45"/>
      <c r="E62" s="37" t="s">
        <v>70</v>
      </c>
      <c r="F62" s="38" t="s">
        <v>29</v>
      </c>
      <c r="G62" s="39">
        <f>168*10</f>
        <v>1680</v>
      </c>
      <c r="H62" s="38"/>
      <c r="I62" s="38">
        <v>5</v>
      </c>
      <c r="J62" s="38">
        <v>10</v>
      </c>
      <c r="K62" s="38">
        <v>10</v>
      </c>
      <c r="L62" s="38">
        <v>10</v>
      </c>
      <c r="M62" s="38">
        <v>10</v>
      </c>
      <c r="N62" s="38">
        <v>10</v>
      </c>
      <c r="O62" s="38">
        <v>10</v>
      </c>
      <c r="P62" s="38">
        <v>10</v>
      </c>
      <c r="Q62" s="38">
        <v>10</v>
      </c>
      <c r="R62" s="38">
        <v>10</v>
      </c>
      <c r="S62" s="38">
        <v>5</v>
      </c>
      <c r="T62" s="40">
        <f t="shared" si="11"/>
        <v>3024000</v>
      </c>
      <c r="U62" s="38"/>
      <c r="V62" s="38"/>
      <c r="W62" s="41">
        <f t="shared" ref="W62:W70" si="12">G62*1800</f>
        <v>3024000</v>
      </c>
      <c r="X62" s="38">
        <f t="shared" si="3"/>
        <v>100</v>
      </c>
    </row>
    <row r="63" spans="3:24" ht="14.25" customHeight="1" x14ac:dyDescent="0.25">
      <c r="C63" s="48"/>
      <c r="D63" s="45"/>
      <c r="E63" s="12" t="s">
        <v>71</v>
      </c>
      <c r="F63" s="1" t="s">
        <v>29</v>
      </c>
      <c r="G63" s="16">
        <f>227*12</f>
        <v>2724</v>
      </c>
      <c r="I63" s="1">
        <v>5</v>
      </c>
      <c r="J63" s="1">
        <v>10</v>
      </c>
      <c r="K63" s="1">
        <v>10</v>
      </c>
      <c r="L63" s="1">
        <v>10</v>
      </c>
      <c r="M63" s="1">
        <v>10</v>
      </c>
      <c r="N63" s="1">
        <v>10</v>
      </c>
      <c r="O63" s="1">
        <v>10</v>
      </c>
      <c r="P63" s="1">
        <v>10</v>
      </c>
      <c r="Q63" s="1">
        <v>10</v>
      </c>
      <c r="R63" s="1">
        <v>10</v>
      </c>
      <c r="S63" s="1">
        <v>5</v>
      </c>
      <c r="T63" s="29">
        <f t="shared" si="11"/>
        <v>4903200</v>
      </c>
      <c r="W63" s="22">
        <f t="shared" si="12"/>
        <v>4903200</v>
      </c>
      <c r="X63" s="1">
        <f t="shared" si="3"/>
        <v>100</v>
      </c>
    </row>
    <row r="64" spans="3:24" ht="14.25" customHeight="1" x14ac:dyDescent="0.25">
      <c r="C64" s="48"/>
      <c r="D64" s="45"/>
      <c r="E64" s="12" t="s">
        <v>72</v>
      </c>
      <c r="F64" s="1" t="s">
        <v>29</v>
      </c>
      <c r="G64" s="16">
        <f>125*10</f>
        <v>1250</v>
      </c>
      <c r="I64" s="1">
        <v>5</v>
      </c>
      <c r="J64" s="1">
        <v>10</v>
      </c>
      <c r="K64" s="1">
        <v>10</v>
      </c>
      <c r="L64" s="1">
        <v>10</v>
      </c>
      <c r="M64" s="1">
        <v>10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v>5</v>
      </c>
      <c r="T64" s="29">
        <f t="shared" si="11"/>
        <v>2250000</v>
      </c>
      <c r="W64" s="22">
        <f t="shared" si="12"/>
        <v>2250000</v>
      </c>
      <c r="X64" s="1">
        <f t="shared" si="3"/>
        <v>100</v>
      </c>
    </row>
    <row r="65" spans="3:24" ht="30" x14ac:dyDescent="0.25">
      <c r="C65" s="48"/>
      <c r="D65" s="45"/>
      <c r="E65" s="12" t="s">
        <v>73</v>
      </c>
      <c r="F65" s="1" t="s">
        <v>29</v>
      </c>
      <c r="G65" s="16">
        <f t="shared" ref="G65" si="13">125*10</f>
        <v>1250</v>
      </c>
      <c r="I65" s="1">
        <v>5</v>
      </c>
      <c r="J65" s="1">
        <v>10</v>
      </c>
      <c r="K65" s="1">
        <v>10</v>
      </c>
      <c r="L65" s="1">
        <v>10</v>
      </c>
      <c r="M65" s="1">
        <v>10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v>5</v>
      </c>
      <c r="T65" s="29">
        <f t="shared" si="11"/>
        <v>2250000</v>
      </c>
      <c r="W65" s="22">
        <f t="shared" si="12"/>
        <v>2250000</v>
      </c>
      <c r="X65" s="1">
        <f t="shared" si="3"/>
        <v>100</v>
      </c>
    </row>
    <row r="66" spans="3:24" ht="14.25" customHeight="1" x14ac:dyDescent="0.25">
      <c r="C66" s="48"/>
      <c r="D66" s="45"/>
      <c r="E66" s="12" t="s">
        <v>74</v>
      </c>
      <c r="F66" s="1" t="s">
        <v>29</v>
      </c>
      <c r="G66" s="16">
        <f>135*11</f>
        <v>1485</v>
      </c>
      <c r="I66" s="1">
        <v>5</v>
      </c>
      <c r="J66" s="1">
        <v>10</v>
      </c>
      <c r="K66" s="1">
        <v>10</v>
      </c>
      <c r="L66" s="1">
        <v>10</v>
      </c>
      <c r="M66" s="1">
        <v>10</v>
      </c>
      <c r="N66" s="1">
        <v>10</v>
      </c>
      <c r="O66" s="1">
        <v>10</v>
      </c>
      <c r="P66" s="1">
        <v>10</v>
      </c>
      <c r="Q66" s="1">
        <v>10</v>
      </c>
      <c r="R66" s="1">
        <v>10</v>
      </c>
      <c r="S66" s="1">
        <v>5</v>
      </c>
      <c r="T66" s="29">
        <f t="shared" si="11"/>
        <v>2673000</v>
      </c>
      <c r="W66" s="22">
        <f t="shared" si="12"/>
        <v>2673000</v>
      </c>
      <c r="X66" s="1">
        <f t="shared" si="3"/>
        <v>100</v>
      </c>
    </row>
    <row r="67" spans="3:24" ht="14.25" customHeight="1" x14ac:dyDescent="0.25">
      <c r="C67" s="48"/>
      <c r="D67" s="45"/>
      <c r="E67" s="12" t="s">
        <v>75</v>
      </c>
      <c r="F67" s="1" t="s">
        <v>29</v>
      </c>
      <c r="G67" s="16">
        <f>135*9.5</f>
        <v>1282.5</v>
      </c>
      <c r="I67" s="1">
        <v>5</v>
      </c>
      <c r="J67" s="1">
        <v>10</v>
      </c>
      <c r="K67" s="1">
        <v>10</v>
      </c>
      <c r="L67" s="1">
        <v>10</v>
      </c>
      <c r="M67" s="1">
        <v>10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v>5</v>
      </c>
      <c r="T67" s="29">
        <f t="shared" si="11"/>
        <v>2308500</v>
      </c>
      <c r="W67" s="22">
        <f t="shared" si="12"/>
        <v>2308500</v>
      </c>
      <c r="X67" s="1">
        <f t="shared" si="3"/>
        <v>100</v>
      </c>
    </row>
    <row r="68" spans="3:24" ht="14.25" customHeight="1" x14ac:dyDescent="0.25">
      <c r="C68" s="48"/>
      <c r="D68" s="45"/>
      <c r="E68" s="12" t="s">
        <v>76</v>
      </c>
      <c r="F68" s="1" t="s">
        <v>29</v>
      </c>
      <c r="G68" s="16">
        <f>135*12</f>
        <v>1620</v>
      </c>
      <c r="I68" s="1">
        <v>5</v>
      </c>
      <c r="J68" s="1">
        <v>10</v>
      </c>
      <c r="K68" s="1">
        <v>10</v>
      </c>
      <c r="L68" s="1">
        <v>10</v>
      </c>
      <c r="M68" s="1">
        <v>10</v>
      </c>
      <c r="N68" s="1">
        <v>10</v>
      </c>
      <c r="O68" s="1">
        <v>10</v>
      </c>
      <c r="P68" s="1">
        <v>10</v>
      </c>
      <c r="Q68" s="1">
        <v>10</v>
      </c>
      <c r="R68" s="1">
        <v>10</v>
      </c>
      <c r="S68" s="1">
        <v>5</v>
      </c>
      <c r="T68" s="29">
        <f t="shared" si="11"/>
        <v>2916000</v>
      </c>
      <c r="W68" s="22">
        <f t="shared" si="12"/>
        <v>2916000</v>
      </c>
      <c r="X68" s="1">
        <f t="shared" si="3"/>
        <v>100</v>
      </c>
    </row>
    <row r="69" spans="3:24" ht="14.25" customHeight="1" x14ac:dyDescent="0.25">
      <c r="C69" s="48"/>
      <c r="D69" s="45"/>
      <c r="E69" s="12" t="s">
        <v>77</v>
      </c>
      <c r="F69" s="1" t="s">
        <v>29</v>
      </c>
      <c r="G69" s="16">
        <f>135*11</f>
        <v>1485</v>
      </c>
      <c r="I69" s="1">
        <v>5</v>
      </c>
      <c r="J69" s="1">
        <v>10</v>
      </c>
      <c r="K69" s="1">
        <v>10</v>
      </c>
      <c r="L69" s="1">
        <v>10</v>
      </c>
      <c r="M69" s="1">
        <v>10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v>5</v>
      </c>
      <c r="T69" s="29">
        <f t="shared" si="11"/>
        <v>2673000</v>
      </c>
      <c r="W69" s="22">
        <f t="shared" si="12"/>
        <v>2673000</v>
      </c>
      <c r="X69" s="1">
        <f t="shared" si="3"/>
        <v>100</v>
      </c>
    </row>
    <row r="70" spans="3:24" ht="14.25" customHeight="1" x14ac:dyDescent="0.25">
      <c r="C70" s="48"/>
      <c r="D70" s="45"/>
      <c r="E70" s="12" t="s">
        <v>78</v>
      </c>
      <c r="F70" s="1" t="s">
        <v>29</v>
      </c>
      <c r="G70" s="16">
        <f>135*7.95</f>
        <v>1073.25</v>
      </c>
      <c r="I70" s="1">
        <v>5</v>
      </c>
      <c r="J70" s="1">
        <v>10</v>
      </c>
      <c r="K70" s="1">
        <v>10</v>
      </c>
      <c r="L70" s="1">
        <v>10</v>
      </c>
      <c r="M70" s="1">
        <v>10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v>5</v>
      </c>
      <c r="T70" s="29">
        <f t="shared" si="11"/>
        <v>1931850</v>
      </c>
      <c r="W70" s="22">
        <f t="shared" si="12"/>
        <v>1931850</v>
      </c>
      <c r="X70" s="1">
        <f t="shared" ref="X70:X136" si="14">SUM(H70:S70)</f>
        <v>100</v>
      </c>
    </row>
    <row r="71" spans="3:24" ht="15" customHeight="1" x14ac:dyDescent="0.25">
      <c r="C71" s="31"/>
      <c r="D71" s="26"/>
      <c r="E71" s="12"/>
      <c r="G71" s="16"/>
      <c r="X71" s="1">
        <f t="shared" si="14"/>
        <v>0</v>
      </c>
    </row>
    <row r="72" spans="3:24" ht="14.25" customHeight="1" x14ac:dyDescent="0.25">
      <c r="C72" s="50" t="s">
        <v>79</v>
      </c>
      <c r="D72" s="45" t="s">
        <v>80</v>
      </c>
      <c r="E72" s="12" t="s">
        <v>81</v>
      </c>
      <c r="F72" s="1" t="s">
        <v>66</v>
      </c>
      <c r="G72" s="16">
        <v>1</v>
      </c>
      <c r="I72" s="1">
        <v>5</v>
      </c>
      <c r="J72" s="1">
        <v>10</v>
      </c>
      <c r="K72" s="1">
        <v>10</v>
      </c>
      <c r="L72" s="1">
        <v>10</v>
      </c>
      <c r="M72" s="1">
        <v>10</v>
      </c>
      <c r="N72" s="1">
        <v>10</v>
      </c>
      <c r="O72" s="1">
        <v>10</v>
      </c>
      <c r="P72" s="1">
        <v>10</v>
      </c>
      <c r="Q72" s="1">
        <v>10</v>
      </c>
      <c r="R72" s="1">
        <v>10</v>
      </c>
      <c r="S72" s="1">
        <v>5</v>
      </c>
      <c r="T72" s="29">
        <f t="shared" ref="T72:T74" si="15">W72*1</f>
        <v>2542562</v>
      </c>
      <c r="W72" s="22">
        <v>2542562</v>
      </c>
      <c r="X72" s="1">
        <f t="shared" si="14"/>
        <v>100</v>
      </c>
    </row>
    <row r="73" spans="3:24" ht="30" x14ac:dyDescent="0.25">
      <c r="C73" s="50"/>
      <c r="D73" s="45"/>
      <c r="E73" s="12" t="s">
        <v>82</v>
      </c>
      <c r="F73" s="1" t="s">
        <v>66</v>
      </c>
      <c r="G73" s="16">
        <v>1</v>
      </c>
      <c r="I73" s="1">
        <v>5</v>
      </c>
      <c r="J73" s="1">
        <v>10</v>
      </c>
      <c r="K73" s="1">
        <v>10</v>
      </c>
      <c r="L73" s="1">
        <v>10</v>
      </c>
      <c r="M73" s="1">
        <v>10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v>5</v>
      </c>
      <c r="T73" s="29">
        <f t="shared" si="15"/>
        <v>2475000</v>
      </c>
      <c r="W73" s="22">
        <f>1500000*1.65</f>
        <v>2475000</v>
      </c>
      <c r="X73" s="1">
        <f t="shared" si="14"/>
        <v>100</v>
      </c>
    </row>
    <row r="74" spans="3:24" ht="14.25" customHeight="1" x14ac:dyDescent="0.25">
      <c r="C74" s="50"/>
      <c r="D74" s="45"/>
      <c r="E74" s="12" t="s">
        <v>83</v>
      </c>
      <c r="F74" s="1" t="s">
        <v>66</v>
      </c>
      <c r="G74" s="16">
        <v>1</v>
      </c>
      <c r="I74" s="1">
        <v>5</v>
      </c>
      <c r="J74" s="1">
        <v>10</v>
      </c>
      <c r="K74" s="1">
        <v>10</v>
      </c>
      <c r="L74" s="1">
        <v>10</v>
      </c>
      <c r="M74" s="1">
        <v>10</v>
      </c>
      <c r="N74" s="1">
        <v>10</v>
      </c>
      <c r="O74" s="1">
        <v>10</v>
      </c>
      <c r="P74" s="1">
        <v>10</v>
      </c>
      <c r="Q74" s="1">
        <v>10</v>
      </c>
      <c r="R74" s="1">
        <v>10</v>
      </c>
      <c r="S74" s="1">
        <v>5</v>
      </c>
      <c r="T74" s="29">
        <f t="shared" si="15"/>
        <v>2923946.3</v>
      </c>
      <c r="W74" s="22">
        <f>2542562*1.15</f>
        <v>2923946.3</v>
      </c>
      <c r="X74" s="1">
        <f t="shared" si="14"/>
        <v>100</v>
      </c>
    </row>
    <row r="75" spans="3:24" ht="14.25" customHeight="1" x14ac:dyDescent="0.25">
      <c r="C75" s="50"/>
      <c r="D75" s="45"/>
      <c r="E75" s="12"/>
      <c r="G75" s="16"/>
      <c r="T75" s="29"/>
      <c r="X75" s="1">
        <f t="shared" si="14"/>
        <v>0</v>
      </c>
    </row>
    <row r="76" spans="3:24" ht="15" customHeight="1" x14ac:dyDescent="0.25">
      <c r="C76" s="50"/>
      <c r="D76" s="26"/>
      <c r="E76" s="12"/>
      <c r="G76" s="16"/>
      <c r="X76" s="1">
        <f t="shared" si="14"/>
        <v>0</v>
      </c>
    </row>
    <row r="77" spans="3:24" ht="15" customHeight="1" x14ac:dyDescent="0.25">
      <c r="C77" s="50"/>
      <c r="D77" s="42" t="s">
        <v>84</v>
      </c>
      <c r="E77" s="12" t="s">
        <v>85</v>
      </c>
      <c r="G77" s="16">
        <v>850</v>
      </c>
      <c r="I77" s="1">
        <v>5</v>
      </c>
      <c r="J77" s="1">
        <v>10</v>
      </c>
      <c r="K77" s="1">
        <v>10</v>
      </c>
      <c r="L77" s="1">
        <v>10</v>
      </c>
      <c r="M77" s="1">
        <v>10</v>
      </c>
      <c r="N77" s="1">
        <v>10</v>
      </c>
      <c r="O77" s="1">
        <v>10</v>
      </c>
      <c r="P77" s="1">
        <v>10</v>
      </c>
      <c r="Q77" s="1">
        <v>10</v>
      </c>
      <c r="R77" s="1">
        <v>10</v>
      </c>
      <c r="S77" s="1">
        <v>5</v>
      </c>
      <c r="T77" s="29">
        <f>W77*1</f>
        <v>12000000</v>
      </c>
      <c r="W77" s="22">
        <v>12000000</v>
      </c>
      <c r="X77" s="1">
        <f t="shared" si="14"/>
        <v>100</v>
      </c>
    </row>
    <row r="78" spans="3:24" ht="15" customHeight="1" x14ac:dyDescent="0.25">
      <c r="C78" s="50"/>
      <c r="D78" s="42"/>
      <c r="E78" s="34" t="s">
        <v>86</v>
      </c>
      <c r="F78" s="20"/>
      <c r="G78" s="21"/>
      <c r="H78" s="20"/>
      <c r="I78" s="20">
        <v>5</v>
      </c>
      <c r="J78" s="20">
        <v>10</v>
      </c>
      <c r="K78" s="20">
        <v>10</v>
      </c>
      <c r="L78" s="20">
        <v>10</v>
      </c>
      <c r="M78" s="20">
        <v>10</v>
      </c>
      <c r="N78" s="20">
        <v>10</v>
      </c>
      <c r="O78" s="20">
        <v>10</v>
      </c>
      <c r="P78" s="20">
        <v>10</v>
      </c>
      <c r="Q78" s="20">
        <v>10</v>
      </c>
      <c r="R78" s="20">
        <v>10</v>
      </c>
      <c r="S78" s="20">
        <v>5</v>
      </c>
      <c r="T78" s="35">
        <f>W78*1</f>
        <v>10000000</v>
      </c>
      <c r="U78" s="20"/>
      <c r="V78" s="20"/>
      <c r="W78" s="36">
        <f>10000000</f>
        <v>10000000</v>
      </c>
      <c r="X78" s="1">
        <f t="shared" si="14"/>
        <v>100</v>
      </c>
    </row>
    <row r="79" spans="3:24" ht="15" customHeight="1" x14ac:dyDescent="0.25">
      <c r="C79" s="50"/>
      <c r="D79" s="42"/>
      <c r="E79" s="12"/>
      <c r="G79" s="16"/>
      <c r="W79" s="1"/>
      <c r="X79" s="1">
        <f t="shared" si="14"/>
        <v>0</v>
      </c>
    </row>
    <row r="80" spans="3:24" x14ac:dyDescent="0.25">
      <c r="E80" s="12"/>
      <c r="G80" s="16"/>
      <c r="X80" s="1">
        <f t="shared" si="14"/>
        <v>0</v>
      </c>
    </row>
    <row r="81" spans="3:24" s="17" customFormat="1" x14ac:dyDescent="0.25">
      <c r="C81" s="49" t="s">
        <v>135</v>
      </c>
      <c r="D81" s="45" t="s">
        <v>136</v>
      </c>
      <c r="E81" s="37" t="s">
        <v>138</v>
      </c>
      <c r="F81" s="38" t="s">
        <v>29</v>
      </c>
      <c r="G81" s="39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41">
        <v>2000000</v>
      </c>
      <c r="X81" s="38"/>
    </row>
    <row r="82" spans="3:24" s="17" customFormat="1" x14ac:dyDescent="0.25">
      <c r="C82" s="49"/>
      <c r="D82" s="45"/>
      <c r="E82" s="27"/>
      <c r="G82" s="16"/>
      <c r="W82" s="22"/>
    </row>
    <row r="83" spans="3:24" s="17" customFormat="1" x14ac:dyDescent="0.25">
      <c r="C83" s="49"/>
      <c r="D83" s="26"/>
      <c r="E83" s="27"/>
      <c r="G83" s="16"/>
      <c r="W83" s="22"/>
    </row>
    <row r="84" spans="3:24" s="17" customFormat="1" ht="14.25" customHeight="1" x14ac:dyDescent="0.25">
      <c r="C84" s="49"/>
      <c r="D84" s="42" t="s">
        <v>137</v>
      </c>
      <c r="E84" s="27"/>
      <c r="G84" s="16"/>
      <c r="W84" s="22"/>
    </row>
    <row r="85" spans="3:24" s="17" customFormat="1" ht="14.25" customHeight="1" x14ac:dyDescent="0.25">
      <c r="C85" s="49"/>
      <c r="D85" s="42"/>
      <c r="E85" s="27"/>
      <c r="G85" s="16"/>
      <c r="W85" s="22"/>
    </row>
    <row r="86" spans="3:24" s="17" customFormat="1" x14ac:dyDescent="0.25">
      <c r="E86" s="27"/>
      <c r="G86" s="16"/>
      <c r="W86" s="22"/>
    </row>
    <row r="87" spans="3:24" x14ac:dyDescent="0.25">
      <c r="C87" s="51"/>
      <c r="D87" s="42" t="s">
        <v>87</v>
      </c>
      <c r="E87" s="12" t="s">
        <v>88</v>
      </c>
      <c r="G87" s="16"/>
      <c r="I87" s="1">
        <v>5</v>
      </c>
      <c r="J87" s="1">
        <v>10</v>
      </c>
      <c r="K87" s="1">
        <v>10</v>
      </c>
      <c r="L87" s="1">
        <v>10</v>
      </c>
      <c r="M87" s="1">
        <v>10</v>
      </c>
      <c r="N87" s="1">
        <v>10</v>
      </c>
      <c r="O87" s="1">
        <v>10</v>
      </c>
      <c r="P87" s="1">
        <v>10</v>
      </c>
      <c r="Q87" s="1">
        <v>10</v>
      </c>
      <c r="R87" s="1">
        <v>10</v>
      </c>
      <c r="S87" s="1">
        <v>5</v>
      </c>
      <c r="T87" s="29">
        <f>W87*1</f>
        <v>5600000</v>
      </c>
      <c r="W87" s="22">
        <v>5600000</v>
      </c>
      <c r="X87" s="1">
        <f t="shared" si="14"/>
        <v>100</v>
      </c>
    </row>
    <row r="88" spans="3:24" x14ac:dyDescent="0.25">
      <c r="C88" s="51"/>
      <c r="D88" s="42"/>
      <c r="E88" s="12" t="s">
        <v>89</v>
      </c>
      <c r="G88" s="16"/>
      <c r="W88" s="22">
        <v>8000000</v>
      </c>
      <c r="X88" s="1">
        <f t="shared" si="14"/>
        <v>0</v>
      </c>
    </row>
    <row r="89" spans="3:24" ht="19.5" customHeight="1" x14ac:dyDescent="0.25">
      <c r="C89" s="51"/>
      <c r="D89" s="42"/>
      <c r="E89" s="12" t="s">
        <v>90</v>
      </c>
      <c r="F89" s="1">
        <f>50*25</f>
        <v>1250</v>
      </c>
      <c r="I89" s="1">
        <v>5</v>
      </c>
      <c r="J89" s="1">
        <v>10</v>
      </c>
      <c r="K89" s="1">
        <v>10</v>
      </c>
      <c r="L89" s="1">
        <v>10</v>
      </c>
      <c r="M89" s="1">
        <v>10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v>5</v>
      </c>
      <c r="T89" s="29">
        <f>W89*1</f>
        <v>14062500</v>
      </c>
      <c r="W89" s="22">
        <f>F89*11250</f>
        <v>14062500</v>
      </c>
      <c r="X89" s="1">
        <f t="shared" si="14"/>
        <v>100</v>
      </c>
    </row>
    <row r="90" spans="3:24" x14ac:dyDescent="0.25">
      <c r="C90" s="12"/>
      <c r="D90" s="32"/>
      <c r="E90" s="12"/>
      <c r="X90" s="1">
        <f t="shared" si="14"/>
        <v>0</v>
      </c>
    </row>
    <row r="91" spans="3:24" ht="31.5" x14ac:dyDescent="0.25">
      <c r="C91" s="33" t="s">
        <v>91</v>
      </c>
      <c r="D91" s="32" t="s">
        <v>92</v>
      </c>
      <c r="E91" s="12" t="s">
        <v>93</v>
      </c>
      <c r="F91" s="1" t="s">
        <v>29</v>
      </c>
      <c r="G91" s="1">
        <v>50</v>
      </c>
      <c r="I91" s="1">
        <v>5</v>
      </c>
      <c r="J91" s="1">
        <v>10</v>
      </c>
      <c r="K91" s="1">
        <v>10</v>
      </c>
      <c r="L91" s="1">
        <v>10</v>
      </c>
      <c r="M91" s="1">
        <v>10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v>5</v>
      </c>
      <c r="T91" s="29">
        <f>W91*1</f>
        <v>161250</v>
      </c>
      <c r="W91" s="22">
        <f>75*2150</f>
        <v>161250</v>
      </c>
      <c r="X91" s="1">
        <f t="shared" si="14"/>
        <v>100</v>
      </c>
    </row>
    <row r="92" spans="3:24" x14ac:dyDescent="0.25">
      <c r="C92" s="12"/>
      <c r="X92" s="1">
        <f t="shared" si="14"/>
        <v>0</v>
      </c>
    </row>
    <row r="93" spans="3:24" ht="31.5" x14ac:dyDescent="0.25">
      <c r="C93" s="33" t="s">
        <v>91</v>
      </c>
      <c r="D93" s="32" t="s">
        <v>94</v>
      </c>
      <c r="E93" s="12" t="s">
        <v>95</v>
      </c>
      <c r="F93" s="1" t="s">
        <v>29</v>
      </c>
      <c r="G93" s="1">
        <v>60</v>
      </c>
      <c r="I93" s="1">
        <v>5</v>
      </c>
      <c r="J93" s="1">
        <v>10</v>
      </c>
      <c r="K93" s="1">
        <v>10</v>
      </c>
      <c r="L93" s="1">
        <v>10</v>
      </c>
      <c r="M93" s="1">
        <v>10</v>
      </c>
      <c r="N93" s="1">
        <v>10</v>
      </c>
      <c r="O93" s="1">
        <v>10</v>
      </c>
      <c r="P93" s="1">
        <v>10</v>
      </c>
      <c r="Q93" s="1">
        <v>10</v>
      </c>
      <c r="R93" s="1">
        <v>10</v>
      </c>
      <c r="S93" s="1">
        <v>5</v>
      </c>
      <c r="T93" s="29">
        <f>W93*1</f>
        <v>129000</v>
      </c>
      <c r="W93" s="22">
        <f>60*2150</f>
        <v>129000</v>
      </c>
      <c r="X93" s="1">
        <f t="shared" si="14"/>
        <v>100</v>
      </c>
    </row>
    <row r="94" spans="3:24" ht="15.75" x14ac:dyDescent="0.25">
      <c r="C94" s="33"/>
      <c r="D94" s="32"/>
      <c r="E94" s="12"/>
      <c r="T94" s="29"/>
      <c r="X94" s="1">
        <f t="shared" si="14"/>
        <v>0</v>
      </c>
    </row>
    <row r="95" spans="3:24" ht="31.5" x14ac:dyDescent="0.25">
      <c r="C95" s="33" t="s">
        <v>91</v>
      </c>
      <c r="D95" s="32" t="s">
        <v>96</v>
      </c>
      <c r="E95" s="12" t="s">
        <v>97</v>
      </c>
      <c r="F95" s="1" t="s">
        <v>29</v>
      </c>
      <c r="G95" s="1">
        <f>W95/500</f>
        <v>400</v>
      </c>
      <c r="I95" s="1">
        <v>5</v>
      </c>
      <c r="J95" s="1">
        <v>10</v>
      </c>
      <c r="K95" s="1">
        <v>10</v>
      </c>
      <c r="L95" s="1">
        <v>10</v>
      </c>
      <c r="M95" s="1">
        <v>10</v>
      </c>
      <c r="N95" s="1">
        <v>10</v>
      </c>
      <c r="O95" s="1">
        <v>10</v>
      </c>
      <c r="P95" s="1">
        <v>10</v>
      </c>
      <c r="Q95" s="1">
        <v>10</v>
      </c>
      <c r="R95" s="1">
        <v>10</v>
      </c>
      <c r="S95" s="1">
        <v>5</v>
      </c>
      <c r="T95" s="29">
        <f>W95*1</f>
        <v>200000</v>
      </c>
      <c r="W95" s="22">
        <v>200000</v>
      </c>
      <c r="X95" s="1">
        <f t="shared" si="14"/>
        <v>100</v>
      </c>
    </row>
    <row r="96" spans="3:24" x14ac:dyDescent="0.25">
      <c r="C96" s="12"/>
      <c r="D96" s="32"/>
      <c r="E96" s="12"/>
      <c r="X96" s="1">
        <f t="shared" si="14"/>
        <v>0</v>
      </c>
    </row>
    <row r="97" spans="3:24" x14ac:dyDescent="0.25">
      <c r="C97" s="12"/>
      <c r="D97" s="32"/>
      <c r="E97" s="12"/>
      <c r="X97" s="1">
        <f t="shared" si="14"/>
        <v>0</v>
      </c>
    </row>
    <row r="98" spans="3:24" ht="15" customHeight="1" x14ac:dyDescent="0.25">
      <c r="C98" s="43" t="s">
        <v>98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1">
        <f t="shared" si="14"/>
        <v>0</v>
      </c>
    </row>
    <row r="99" spans="3:24" x14ac:dyDescent="0.25">
      <c r="C99" s="12"/>
      <c r="D99" s="42" t="s">
        <v>99</v>
      </c>
      <c r="E99" s="12" t="s">
        <v>100</v>
      </c>
      <c r="F99" s="1" t="s">
        <v>101</v>
      </c>
      <c r="G99" s="1">
        <v>1</v>
      </c>
      <c r="W99" s="22">
        <v>28000</v>
      </c>
      <c r="X99" s="1">
        <f t="shared" si="14"/>
        <v>0</v>
      </c>
    </row>
    <row r="100" spans="3:24" ht="30" x14ac:dyDescent="0.25">
      <c r="C100" s="12"/>
      <c r="D100" s="42"/>
      <c r="E100" s="12" t="s">
        <v>102</v>
      </c>
      <c r="F100" s="1" t="s">
        <v>101</v>
      </c>
      <c r="G100" s="1">
        <v>1</v>
      </c>
      <c r="W100" s="22">
        <v>30000</v>
      </c>
      <c r="X100" s="1">
        <f t="shared" si="14"/>
        <v>0</v>
      </c>
    </row>
    <row r="101" spans="3:24" ht="30" x14ac:dyDescent="0.25">
      <c r="C101" s="12"/>
      <c r="D101" s="42"/>
      <c r="E101" s="12" t="s">
        <v>103</v>
      </c>
      <c r="F101" s="1" t="s">
        <v>101</v>
      </c>
      <c r="G101" s="1">
        <v>1</v>
      </c>
      <c r="W101" s="22">
        <v>4500</v>
      </c>
      <c r="X101" s="1">
        <f t="shared" si="14"/>
        <v>0</v>
      </c>
    </row>
    <row r="102" spans="3:24" x14ac:dyDescent="0.25">
      <c r="C102" s="12"/>
      <c r="D102" s="42"/>
      <c r="E102" s="12" t="s">
        <v>104</v>
      </c>
      <c r="F102" s="1" t="s">
        <v>101</v>
      </c>
      <c r="G102" s="1">
        <v>1</v>
      </c>
      <c r="W102" s="22">
        <v>11000</v>
      </c>
      <c r="X102" s="1">
        <f t="shared" si="14"/>
        <v>0</v>
      </c>
    </row>
    <row r="103" spans="3:24" x14ac:dyDescent="0.25">
      <c r="C103" s="12"/>
      <c r="D103" s="42"/>
      <c r="E103" s="12" t="s">
        <v>105</v>
      </c>
      <c r="F103" s="1" t="s">
        <v>101</v>
      </c>
      <c r="G103" s="1">
        <v>1</v>
      </c>
      <c r="W103" s="22">
        <v>25000</v>
      </c>
      <c r="X103" s="1">
        <f t="shared" si="14"/>
        <v>0</v>
      </c>
    </row>
    <row r="104" spans="3:24" x14ac:dyDescent="0.25">
      <c r="C104" s="12"/>
      <c r="E104" s="12" t="s">
        <v>106</v>
      </c>
      <c r="F104" s="1" t="s">
        <v>101</v>
      </c>
      <c r="G104" s="1">
        <v>1</v>
      </c>
      <c r="W104" s="22">
        <v>35000</v>
      </c>
      <c r="X104" s="1">
        <f t="shared" si="14"/>
        <v>0</v>
      </c>
    </row>
    <row r="105" spans="3:24" x14ac:dyDescent="0.25">
      <c r="C105" s="12"/>
      <c r="E105" s="12"/>
      <c r="X105" s="1">
        <f t="shared" si="14"/>
        <v>0</v>
      </c>
    </row>
    <row r="106" spans="3:24" x14ac:dyDescent="0.25">
      <c r="C106" s="12"/>
      <c r="D106" s="42" t="s">
        <v>107</v>
      </c>
      <c r="E106" s="12" t="s">
        <v>108</v>
      </c>
      <c r="F106" s="1" t="s">
        <v>101</v>
      </c>
      <c r="G106" s="1">
        <v>2</v>
      </c>
      <c r="W106" s="22">
        <v>26000</v>
      </c>
      <c r="X106" s="1">
        <f t="shared" si="14"/>
        <v>0</v>
      </c>
    </row>
    <row r="107" spans="3:24" x14ac:dyDescent="0.25">
      <c r="C107" s="12"/>
      <c r="D107" s="42"/>
      <c r="E107" s="12" t="s">
        <v>109</v>
      </c>
      <c r="F107" s="1" t="s">
        <v>101</v>
      </c>
      <c r="G107" s="1">
        <v>2</v>
      </c>
      <c r="W107" s="22">
        <v>38000</v>
      </c>
      <c r="X107" s="1">
        <f t="shared" si="14"/>
        <v>0</v>
      </c>
    </row>
    <row r="108" spans="3:24" x14ac:dyDescent="0.25">
      <c r="C108" s="12"/>
      <c r="D108" s="42"/>
      <c r="E108" s="12"/>
      <c r="W108" s="22">
        <v>15600</v>
      </c>
      <c r="X108" s="1">
        <f t="shared" si="14"/>
        <v>0</v>
      </c>
    </row>
    <row r="109" spans="3:24" x14ac:dyDescent="0.25">
      <c r="C109" s="12"/>
      <c r="D109" s="42"/>
      <c r="E109" s="12" t="s">
        <v>110</v>
      </c>
      <c r="F109" s="1" t="s">
        <v>101</v>
      </c>
      <c r="G109" s="1">
        <v>1</v>
      </c>
      <c r="W109" s="22">
        <v>25200</v>
      </c>
      <c r="X109" s="1">
        <f t="shared" si="14"/>
        <v>0</v>
      </c>
    </row>
    <row r="110" spans="3:24" x14ac:dyDescent="0.25">
      <c r="C110" s="12"/>
      <c r="D110" s="42"/>
      <c r="E110" s="12" t="s">
        <v>111</v>
      </c>
      <c r="F110" s="1" t="s">
        <v>101</v>
      </c>
      <c r="G110" s="1">
        <v>1</v>
      </c>
      <c r="W110" s="22">
        <v>4500</v>
      </c>
      <c r="X110" s="1">
        <f t="shared" si="14"/>
        <v>0</v>
      </c>
    </row>
    <row r="111" spans="3:24" x14ac:dyDescent="0.25">
      <c r="C111" s="12"/>
      <c r="D111" s="42"/>
      <c r="E111" s="12" t="s">
        <v>112</v>
      </c>
      <c r="F111" s="1" t="s">
        <v>101</v>
      </c>
      <c r="G111" s="1">
        <v>1</v>
      </c>
    </row>
    <row r="112" spans="3:24" x14ac:dyDescent="0.25">
      <c r="C112" s="12"/>
      <c r="D112" s="42"/>
      <c r="E112" s="12"/>
    </row>
    <row r="113" spans="3:24" x14ac:dyDescent="0.25">
      <c r="C113" s="12"/>
      <c r="D113" s="42"/>
      <c r="E113" s="12"/>
      <c r="X113" s="1">
        <f t="shared" si="14"/>
        <v>0</v>
      </c>
    </row>
    <row r="114" spans="3:24" x14ac:dyDescent="0.25">
      <c r="C114" s="12"/>
      <c r="E114" s="12"/>
      <c r="X114" s="1">
        <f t="shared" si="14"/>
        <v>0</v>
      </c>
    </row>
    <row r="115" spans="3:24" x14ac:dyDescent="0.25">
      <c r="C115" s="12"/>
      <c r="D115" s="42" t="s">
        <v>113</v>
      </c>
      <c r="E115" s="12" t="s">
        <v>114</v>
      </c>
      <c r="F115" s="1" t="s">
        <v>115</v>
      </c>
      <c r="G115" s="1">
        <v>50</v>
      </c>
      <c r="W115" s="22">
        <f>250*G115</f>
        <v>12500</v>
      </c>
      <c r="X115" s="1">
        <f t="shared" si="14"/>
        <v>0</v>
      </c>
    </row>
    <row r="116" spans="3:24" x14ac:dyDescent="0.25">
      <c r="C116" s="12"/>
      <c r="D116" s="42"/>
      <c r="E116" s="12" t="s">
        <v>116</v>
      </c>
      <c r="F116" s="1" t="s">
        <v>101</v>
      </c>
      <c r="G116" s="1">
        <v>10</v>
      </c>
      <c r="W116" s="22">
        <f>550*G116</f>
        <v>5500</v>
      </c>
      <c r="X116" s="1">
        <f t="shared" si="14"/>
        <v>0</v>
      </c>
    </row>
    <row r="117" spans="3:24" x14ac:dyDescent="0.25">
      <c r="C117" s="12"/>
      <c r="D117" s="42"/>
      <c r="E117" s="12" t="s">
        <v>117</v>
      </c>
      <c r="F117" s="1" t="s">
        <v>115</v>
      </c>
      <c r="G117" s="1">
        <v>10</v>
      </c>
      <c r="W117" s="22">
        <f>350*G117</f>
        <v>3500</v>
      </c>
      <c r="X117" s="1">
        <f t="shared" si="14"/>
        <v>0</v>
      </c>
    </row>
    <row r="118" spans="3:24" x14ac:dyDescent="0.25">
      <c r="C118" s="12"/>
      <c r="D118" s="42"/>
      <c r="E118" s="12" t="s">
        <v>118</v>
      </c>
      <c r="F118" s="1" t="s">
        <v>119</v>
      </c>
      <c r="G118" s="1">
        <v>5</v>
      </c>
      <c r="W118" s="22">
        <f>750*G118</f>
        <v>3750</v>
      </c>
      <c r="X118" s="1">
        <f t="shared" si="14"/>
        <v>0</v>
      </c>
    </row>
    <row r="119" spans="3:24" ht="30" x14ac:dyDescent="0.25">
      <c r="C119" s="12"/>
      <c r="D119" s="42"/>
      <c r="E119" s="12" t="s">
        <v>120</v>
      </c>
      <c r="F119" s="1" t="s">
        <v>121</v>
      </c>
      <c r="G119" s="1">
        <v>1</v>
      </c>
      <c r="W119" s="22">
        <f>32500</f>
        <v>32500</v>
      </c>
      <c r="X119" s="1">
        <f t="shared" si="14"/>
        <v>0</v>
      </c>
    </row>
    <row r="120" spans="3:24" x14ac:dyDescent="0.25">
      <c r="C120" s="12"/>
      <c r="D120" s="42"/>
      <c r="X120" s="1">
        <f t="shared" si="14"/>
        <v>0</v>
      </c>
    </row>
    <row r="121" spans="3:24" x14ac:dyDescent="0.25">
      <c r="C121" s="12"/>
      <c r="D121" s="32"/>
      <c r="X121" s="1">
        <f t="shared" si="14"/>
        <v>0</v>
      </c>
    </row>
    <row r="122" spans="3:24" x14ac:dyDescent="0.25">
      <c r="X122" s="1">
        <f t="shared" si="14"/>
        <v>0</v>
      </c>
    </row>
    <row r="123" spans="3:24" x14ac:dyDescent="0.25">
      <c r="D123" s="42" t="s">
        <v>122</v>
      </c>
      <c r="E123" s="12" t="s">
        <v>123</v>
      </c>
      <c r="F123" s="1" t="s">
        <v>101</v>
      </c>
      <c r="G123" s="1">
        <v>1</v>
      </c>
      <c r="W123" s="22">
        <v>650</v>
      </c>
      <c r="X123" s="1">
        <f t="shared" si="14"/>
        <v>0</v>
      </c>
    </row>
    <row r="124" spans="3:24" ht="30" x14ac:dyDescent="0.25">
      <c r="D124" s="42"/>
      <c r="E124" s="12" t="s">
        <v>124</v>
      </c>
      <c r="F124" s="1" t="s">
        <v>101</v>
      </c>
      <c r="G124" s="1">
        <v>1</v>
      </c>
      <c r="W124" s="22">
        <v>38000</v>
      </c>
      <c r="X124" s="1">
        <f t="shared" si="14"/>
        <v>0</v>
      </c>
    </row>
    <row r="125" spans="3:24" x14ac:dyDescent="0.25">
      <c r="D125" s="42"/>
      <c r="E125" s="12" t="s">
        <v>125</v>
      </c>
      <c r="F125" s="1" t="s">
        <v>101</v>
      </c>
      <c r="G125" s="1">
        <v>2</v>
      </c>
      <c r="W125" s="22">
        <v>15600</v>
      </c>
      <c r="X125" s="1">
        <f t="shared" si="14"/>
        <v>0</v>
      </c>
    </row>
    <row r="126" spans="3:24" x14ac:dyDescent="0.25">
      <c r="D126" s="42"/>
      <c r="E126" s="12" t="s">
        <v>126</v>
      </c>
      <c r="F126" s="1" t="s">
        <v>101</v>
      </c>
      <c r="G126" s="1">
        <v>10</v>
      </c>
      <c r="W126" s="22">
        <v>5200</v>
      </c>
      <c r="X126" s="1">
        <f t="shared" si="14"/>
        <v>0</v>
      </c>
    </row>
    <row r="127" spans="3:24" x14ac:dyDescent="0.25">
      <c r="D127" s="42"/>
      <c r="E127" s="12" t="s">
        <v>127</v>
      </c>
      <c r="F127" s="1" t="s">
        <v>101</v>
      </c>
      <c r="G127" s="1">
        <v>10</v>
      </c>
      <c r="W127" s="22">
        <v>10000</v>
      </c>
      <c r="X127" s="1">
        <f t="shared" si="14"/>
        <v>0</v>
      </c>
    </row>
    <row r="128" spans="3:24" x14ac:dyDescent="0.25">
      <c r="D128" s="42"/>
      <c r="E128" s="12"/>
      <c r="F128" s="1" t="s">
        <v>101</v>
      </c>
      <c r="G128" s="1">
        <v>1</v>
      </c>
      <c r="X128" s="1">
        <f t="shared" si="14"/>
        <v>0</v>
      </c>
    </row>
    <row r="129" spans="4:24" x14ac:dyDescent="0.25">
      <c r="E129" s="12"/>
      <c r="F129" s="1" t="s">
        <v>101</v>
      </c>
      <c r="G129" s="1">
        <v>1</v>
      </c>
      <c r="X129" s="1">
        <f t="shared" si="14"/>
        <v>0</v>
      </c>
    </row>
    <row r="130" spans="4:24" ht="30" x14ac:dyDescent="0.25">
      <c r="E130" s="12" t="s">
        <v>128</v>
      </c>
      <c r="F130" s="1" t="s">
        <v>101</v>
      </c>
      <c r="G130" s="1">
        <v>3</v>
      </c>
      <c r="W130" s="22">
        <f>8000*3</f>
        <v>24000</v>
      </c>
      <c r="X130" s="1">
        <f t="shared" si="14"/>
        <v>0</v>
      </c>
    </row>
    <row r="131" spans="4:24" x14ac:dyDescent="0.25">
      <c r="X131" s="1">
        <f t="shared" si="14"/>
        <v>0</v>
      </c>
    </row>
    <row r="132" spans="4:24" x14ac:dyDescent="0.25">
      <c r="X132" s="1">
        <f t="shared" si="14"/>
        <v>0</v>
      </c>
    </row>
    <row r="133" spans="4:24" x14ac:dyDescent="0.25">
      <c r="D133" s="42" t="s">
        <v>129</v>
      </c>
      <c r="E133" s="12"/>
      <c r="X133" s="1">
        <f t="shared" si="14"/>
        <v>0</v>
      </c>
    </row>
    <row r="134" spans="4:24" x14ac:dyDescent="0.25">
      <c r="D134" s="42"/>
      <c r="E134" s="12" t="s">
        <v>130</v>
      </c>
      <c r="X134" s="1">
        <f t="shared" si="14"/>
        <v>0</v>
      </c>
    </row>
    <row r="135" spans="4:24" x14ac:dyDescent="0.25">
      <c r="D135" s="42"/>
      <c r="E135" s="12" t="s">
        <v>131</v>
      </c>
      <c r="X135" s="1">
        <f t="shared" si="14"/>
        <v>0</v>
      </c>
    </row>
    <row r="136" spans="4:24" x14ac:dyDescent="0.25">
      <c r="D136" s="42"/>
      <c r="E136" s="12" t="s">
        <v>132</v>
      </c>
      <c r="F136" s="1" t="s">
        <v>37</v>
      </c>
      <c r="G136" s="1">
        <v>3</v>
      </c>
      <c r="W136" s="22">
        <f>(30000000*1.4)*G136</f>
        <v>126000000</v>
      </c>
      <c r="X136" s="1">
        <f t="shared" si="14"/>
        <v>0</v>
      </c>
    </row>
    <row r="137" spans="4:24" x14ac:dyDescent="0.25">
      <c r="D137" s="42"/>
      <c r="E137" s="12"/>
    </row>
    <row r="138" spans="4:24" x14ac:dyDescent="0.25">
      <c r="D138" s="42"/>
      <c r="E138" s="12"/>
    </row>
    <row r="139" spans="4:24" x14ac:dyDescent="0.25">
      <c r="E139" s="12"/>
    </row>
    <row r="140" spans="4:24" x14ac:dyDescent="0.25">
      <c r="E140" s="12"/>
    </row>
    <row r="141" spans="4:24" x14ac:dyDescent="0.25">
      <c r="E141" s="12"/>
    </row>
    <row r="142" spans="4:24" x14ac:dyDescent="0.25">
      <c r="E142" s="12"/>
    </row>
    <row r="143" spans="4:24" x14ac:dyDescent="0.25">
      <c r="E143" s="12"/>
    </row>
  </sheetData>
  <mergeCells count="37">
    <mergeCell ref="A1:W2"/>
    <mergeCell ref="A3:A4"/>
    <mergeCell ref="B3:B4"/>
    <mergeCell ref="C3:C4"/>
    <mergeCell ref="D3:D4"/>
    <mergeCell ref="E3:E4"/>
    <mergeCell ref="F3:G3"/>
    <mergeCell ref="H3:S3"/>
    <mergeCell ref="T3:V3"/>
    <mergeCell ref="W3:W4"/>
    <mergeCell ref="A6:A9"/>
    <mergeCell ref="C6:C20"/>
    <mergeCell ref="D6:D12"/>
    <mergeCell ref="D13:D20"/>
    <mergeCell ref="C22:C23"/>
    <mergeCell ref="D22:D23"/>
    <mergeCell ref="C98:W98"/>
    <mergeCell ref="C25:C30"/>
    <mergeCell ref="D25:D30"/>
    <mergeCell ref="E26:E27"/>
    <mergeCell ref="C32:C40"/>
    <mergeCell ref="D32:D40"/>
    <mergeCell ref="C41:C70"/>
    <mergeCell ref="D41:D70"/>
    <mergeCell ref="C81:C85"/>
    <mergeCell ref="D81:D82"/>
    <mergeCell ref="D84:D85"/>
    <mergeCell ref="C72:C79"/>
    <mergeCell ref="D72:D75"/>
    <mergeCell ref="D77:D79"/>
    <mergeCell ref="C87:C89"/>
    <mergeCell ref="D87:D89"/>
    <mergeCell ref="D99:D103"/>
    <mergeCell ref="D106:D113"/>
    <mergeCell ref="D115:D120"/>
    <mergeCell ref="D123:D128"/>
    <mergeCell ref="D133:D138"/>
  </mergeCells>
  <printOptions gridLines="1"/>
  <pageMargins left="0.28999999999999998" right="0.2" top="0.43307086614173229" bottom="0.43307086614173229" header="0.31496062992125984" footer="0.31496062992125984"/>
  <pageSetup paperSize="3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PROYECTOS</vt:lpstr>
      <vt:lpstr>PROYECTOS!Área_de_impresión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PRL</dc:creator>
  <cp:lastModifiedBy>JOSS</cp:lastModifiedBy>
  <cp:lastPrinted>2020-11-18T19:20:58Z</cp:lastPrinted>
  <dcterms:created xsi:type="dcterms:W3CDTF">2019-12-02T18:42:45Z</dcterms:created>
  <dcterms:modified xsi:type="dcterms:W3CDTF">2021-12-22T16:33:00Z</dcterms:modified>
</cp:coreProperties>
</file>